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0" yWindow="1380" windowWidth="32767" windowHeight="20860" activeTab="0"/>
  </bookViews>
  <sheets>
    <sheet name="Diesel to Yardage Conversion" sheetId="1" r:id="rId1"/>
    <sheet name="open1" sheetId="2" r:id="rId2"/>
    <sheet name="open2" sheetId="3" r:id="rId3"/>
  </sheets>
  <definedNames>
    <definedName name="_xlnm.Print_Area" localSheetId="0">'Diesel to Yardage Conversion'!$A$1:$M$83</definedName>
  </definedNames>
  <calcPr fullCalcOnLoad="1"/>
</workbook>
</file>

<file path=xl/comments1.xml><?xml version="1.0" encoding="utf-8"?>
<comments xmlns="http://schemas.openxmlformats.org/spreadsheetml/2006/main">
  <authors>
    <author>Garland RJ Dahlke</author>
  </authors>
  <commentList>
    <comment ref="L72" authorId="0">
      <text>
        <r>
          <rPr>
            <b/>
            <sz val="8"/>
            <rFont val="Tahoma"/>
            <family val="2"/>
          </rPr>
          <t>Estimate: 20% of fee is fuel based.</t>
        </r>
        <r>
          <rPr>
            <sz val="8"/>
            <rFont val="Tahoma"/>
            <family val="2"/>
          </rPr>
          <t xml:space="preserve">
</t>
        </r>
      </text>
    </comment>
    <comment ref="L69" authorId="0">
      <text>
        <r>
          <rPr>
            <b/>
            <sz val="8"/>
            <rFont val="Tahoma"/>
            <family val="2"/>
          </rPr>
          <t>Estimate: 20% of fee is fuel based.</t>
        </r>
        <r>
          <rPr>
            <sz val="8"/>
            <rFont val="Tahoma"/>
            <family val="2"/>
          </rPr>
          <t xml:space="preserve">
</t>
        </r>
      </text>
    </comment>
    <comment ref="L71" authorId="0">
      <text>
        <r>
          <rPr>
            <b/>
            <sz val="8"/>
            <rFont val="Tahoma"/>
            <family val="2"/>
          </rPr>
          <t>Estimate: 20% of fee is fuel based.</t>
        </r>
        <r>
          <rPr>
            <sz val="8"/>
            <rFont val="Tahoma"/>
            <family val="2"/>
          </rPr>
          <t xml:space="preserve">
</t>
        </r>
      </text>
    </comment>
    <comment ref="L56" authorId="0">
      <text>
        <r>
          <rPr>
            <b/>
            <sz val="8"/>
            <rFont val="Tahoma"/>
            <family val="2"/>
          </rPr>
          <t>Estimate: 20% of fee is fuel based.</t>
        </r>
        <r>
          <rPr>
            <sz val="8"/>
            <rFont val="Tahoma"/>
            <family val="2"/>
          </rPr>
          <t xml:space="preserve">
</t>
        </r>
      </text>
    </comment>
    <comment ref="L50" authorId="0">
      <text>
        <r>
          <rPr>
            <b/>
            <sz val="8"/>
            <rFont val="Tahoma"/>
            <family val="2"/>
          </rPr>
          <t>Estimate: 20% of fee is fuel based.</t>
        </r>
        <r>
          <rPr>
            <sz val="8"/>
            <rFont val="Tahoma"/>
            <family val="2"/>
          </rPr>
          <t xml:space="preserve">
</t>
        </r>
      </text>
    </comment>
    <comment ref="L47" authorId="0">
      <text>
        <r>
          <rPr>
            <b/>
            <sz val="8"/>
            <rFont val="Tahoma"/>
            <family val="2"/>
          </rPr>
          <t>Estimate: 20% of fee is fuel based.</t>
        </r>
        <r>
          <rPr>
            <sz val="8"/>
            <rFont val="Tahoma"/>
            <family val="2"/>
          </rPr>
          <t xml:space="preserve">
</t>
        </r>
      </text>
    </comment>
    <comment ref="L44" authorId="0">
      <text>
        <r>
          <rPr>
            <b/>
            <sz val="8"/>
            <rFont val="Tahoma"/>
            <family val="2"/>
          </rPr>
          <t>66 % timber / steel material based</t>
        </r>
        <r>
          <rPr>
            <sz val="8"/>
            <rFont val="Tahoma"/>
            <family val="2"/>
          </rPr>
          <t xml:space="preserve">
</t>
        </r>
      </text>
    </comment>
    <comment ref="L45" authorId="0">
      <text>
        <r>
          <rPr>
            <b/>
            <sz val="8"/>
            <rFont val="Tahoma"/>
            <family val="2"/>
          </rPr>
          <t>Based on steel and plastic part manufaturing.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Diesel fuel price when original yardage breakdown values were determined.</t>
        </r>
      </text>
    </comment>
    <comment ref="B9" authorId="0">
      <text>
        <r>
          <rPr>
            <b/>
            <sz val="8"/>
            <rFont val="Tahoma"/>
            <family val="2"/>
          </rPr>
          <t>Diesel fuel price for upcoming year  (</t>
        </r>
        <r>
          <rPr>
            <sz val="8"/>
            <rFont val="Tahoma"/>
            <family val="2"/>
          </rPr>
          <t>for instance the booked fuel price for the upcoming year</t>
        </r>
        <r>
          <rPr>
            <b/>
            <sz val="8"/>
            <rFont val="Tahoma"/>
            <family val="2"/>
          </rPr>
          <t>).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Base yardage (daily per head charge) plus Incidental charges.
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Fixed cost plus Expected Costs = base yardage or per head per day fee.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<sst xmlns="http://schemas.openxmlformats.org/spreadsheetml/2006/main" count="284" uniqueCount="184">
  <si>
    <t>Property Taxes</t>
  </si>
  <si>
    <t>Property Upkeep</t>
  </si>
  <si>
    <t>Depreciable Structures</t>
  </si>
  <si>
    <t>Property Insurance</t>
  </si>
  <si>
    <t>Fixed Items -</t>
  </si>
  <si>
    <t>( present with or with out cattle)</t>
  </si>
  <si>
    <t>other 1</t>
  </si>
  <si>
    <t>other 2</t>
  </si>
  <si>
    <t>other 3</t>
  </si>
  <si>
    <t>Interest on Property/Structures</t>
  </si>
  <si>
    <t>(associated with cattle)</t>
  </si>
  <si>
    <t>Labor</t>
  </si>
  <si>
    <t>Electricity</t>
  </si>
  <si>
    <t>Structure Repair</t>
  </si>
  <si>
    <t>Rent</t>
  </si>
  <si>
    <t>Manure Disposal</t>
  </si>
  <si>
    <t>Phone</t>
  </si>
  <si>
    <t>Services</t>
  </si>
  <si>
    <t>Hardware</t>
  </si>
  <si>
    <t>Depreciable Equipment</t>
  </si>
  <si>
    <t>Yard Maintenance</t>
  </si>
  <si>
    <t>Bedding</t>
  </si>
  <si>
    <t>Data Collection</t>
  </si>
  <si>
    <t>Part of Base Yardage Charge</t>
  </si>
  <si>
    <t>Totals</t>
  </si>
  <si>
    <t>Annual</t>
  </si>
  <si>
    <t>see notes</t>
  </si>
  <si>
    <t>Units</t>
  </si>
  <si>
    <t>Rate</t>
  </si>
  <si>
    <t>Head Day</t>
  </si>
  <si>
    <t>Total Head Days</t>
  </si>
  <si>
    <t>Fuel - diesel</t>
  </si>
  <si>
    <t>Fuel - gas</t>
  </si>
  <si>
    <t>Totals:</t>
  </si>
  <si>
    <t>Base Yardage Totals:</t>
  </si>
  <si>
    <t>$ Totals</t>
  </si>
  <si>
    <t>Days Fed (average)</t>
  </si>
  <si>
    <t>a-1</t>
  </si>
  <si>
    <t>b-1</t>
  </si>
  <si>
    <t>c-1</t>
  </si>
  <si>
    <t>d-1</t>
  </si>
  <si>
    <t>e-1</t>
  </si>
  <si>
    <t>f-1</t>
  </si>
  <si>
    <t>g-1</t>
  </si>
  <si>
    <t>h-1</t>
  </si>
  <si>
    <t>a-2</t>
  </si>
  <si>
    <t>b-2</t>
  </si>
  <si>
    <t>c-2</t>
  </si>
  <si>
    <t>d-2</t>
  </si>
  <si>
    <t>e-2</t>
  </si>
  <si>
    <t>g-2</t>
  </si>
  <si>
    <t>h-2</t>
  </si>
  <si>
    <t>i-2</t>
  </si>
  <si>
    <t>j-2</t>
  </si>
  <si>
    <t>k-2</t>
  </si>
  <si>
    <t>l-2</t>
  </si>
  <si>
    <t>m-2</t>
  </si>
  <si>
    <t>n-2</t>
  </si>
  <si>
    <t>o-2</t>
  </si>
  <si>
    <t>p-2</t>
  </si>
  <si>
    <t>q-2</t>
  </si>
  <si>
    <t>r-2</t>
  </si>
  <si>
    <t>a-3</t>
  </si>
  <si>
    <t>b-3</t>
  </si>
  <si>
    <t>c-3</t>
  </si>
  <si>
    <t>d-3</t>
  </si>
  <si>
    <t>e-3</t>
  </si>
  <si>
    <t>f-3</t>
  </si>
  <si>
    <t>g-3</t>
  </si>
  <si>
    <t>h-3</t>
  </si>
  <si>
    <t>i-3</t>
  </si>
  <si>
    <t>per head</t>
  </si>
  <si>
    <t>Total $</t>
  </si>
  <si>
    <t>Incidental Yardage Charge Total:</t>
  </si>
  <si>
    <t>per day</t>
  </si>
  <si>
    <t>Head Finished (annually)</t>
  </si>
  <si>
    <t>Head Started on Feed (annually)</t>
  </si>
  <si>
    <t>Head Days used for Yardage $</t>
  </si>
  <si>
    <t>(associated with cattle but changes from lot to lot &amp; year to year)</t>
  </si>
  <si>
    <t>Pulls / Deads                            (hd x $rate)</t>
  </si>
  <si>
    <t>f-2c</t>
  </si>
  <si>
    <t>f-2a</t>
  </si>
  <si>
    <t>f-2b</t>
  </si>
  <si>
    <t xml:space="preserve">  - shop hours / $ rate</t>
  </si>
  <si>
    <t xml:space="preserve"> - service hours / $ rate</t>
  </si>
  <si>
    <t>One lump sum.  Since we generally put a value on the different feeds used, this value only includes cattle housing &amp; feeding areas.</t>
  </si>
  <si>
    <t>For new construction / stuff that is not paid off on paper yet.</t>
  </si>
  <si>
    <t>Basic liability, wind, fire types of policy</t>
  </si>
  <si>
    <t>user defined</t>
  </si>
  <si>
    <t>These items cost the owner money regardless of the number of head on feed so they are listed separately, although calculated into the base yardage charge per head per day.</t>
  </si>
  <si>
    <t>Where payment for services comes from - hours and $ rate per hour are entered.</t>
  </si>
  <si>
    <t>Gallons and $/gallon are entered.</t>
  </si>
  <si>
    <t>Kwatt hours and $/Kwatt hour are entered.</t>
  </si>
  <si>
    <t>Lump sum - average over years is what I use.</t>
  </si>
  <si>
    <t>I use this for hours in shop and shop $ rate per hour.</t>
  </si>
  <si>
    <t>I use this for hours a tec. is at the farm and $ rate per hour.</t>
  </si>
  <si>
    <t>A yearly lump sum.</t>
  </si>
  <si>
    <t>An average yearly lump sum.</t>
  </si>
  <si>
    <t>I reserve this for equipment used for cattle feeding only since if I quit feeeding - this stuff goes.</t>
  </si>
  <si>
    <t>These items are associated with having cattle in the lot.  These items may be different from lot to lot or year to year and are therefore called "incidental" yardage costs.</t>
  </si>
  <si>
    <t>These items are associated with having cattle in the lot.  These costs are fairly consistent from year to year and are therefore called "expected" yardage costs.</t>
  </si>
  <si>
    <t>Bedding - lot and weather dependant.</t>
  </si>
  <si>
    <t>Variable - somewhat source dependant.</t>
  </si>
  <si>
    <t>For situations where something special needs to be done.  Includes the chute time , etc.</t>
  </si>
  <si>
    <t>j-3</t>
  </si>
  <si>
    <t>Sick Pen</t>
  </si>
  <si>
    <t>c</t>
  </si>
  <si>
    <t>b</t>
  </si>
  <si>
    <t>a</t>
  </si>
  <si>
    <t>Numbers</t>
  </si>
  <si>
    <t>A general average of time cattle are on feed in the yards.</t>
  </si>
  <si>
    <t>I reserve this for equipment used for cattle feeding only since if I quit feeeding - this stuff goes.  Probably best to use a 5 year average.</t>
  </si>
  <si>
    <t>Generally these are items that should be itemized out for each pen based on incident rather than part of the base yardage.</t>
  </si>
  <si>
    <t>Diesel Index</t>
  </si>
  <si>
    <t>Est.New</t>
  </si>
  <si>
    <t>Interest on Cattle/Operating Loans</t>
  </si>
  <si>
    <t>Petrolium based items</t>
  </si>
  <si>
    <t>A lump sum for stuff like oil, gear lube, etc</t>
  </si>
  <si>
    <t>A lump sum. - I prefer to keep this separate from a fixed charge depreciable item since these things could be transferred to othe areas</t>
  </si>
  <si>
    <t xml:space="preserve">Bulldozer work, etc.  </t>
  </si>
  <si>
    <t>Medical Tretments  (in house)</t>
  </si>
  <si>
    <t>Veterinary Treatments</t>
  </si>
  <si>
    <t>Equipment Repair ( parts )</t>
  </si>
  <si>
    <t>Processing  (cattle )</t>
  </si>
  <si>
    <t>Numbers (cattle numbers)</t>
  </si>
  <si>
    <t>General</t>
  </si>
  <si>
    <t>Diesel retail costs relative to interest rates, timber, iron, crude oil and gas are the basis.</t>
  </si>
  <si>
    <t xml:space="preserve">The Diesel Index is a means by which adjustments can be made to your original numbers for projecting an appropriate yardage charge for the upcoming year.  </t>
  </si>
  <si>
    <t>Total head days is calculated as number finished per year x average days fed with the deads also added in as 1/2 the days fed x number of deads.</t>
  </si>
  <si>
    <t>Head Days of cattle that are sold - the head days used for yardage calculations below</t>
  </si>
  <si>
    <t>Items</t>
  </si>
  <si>
    <t>no estimated</t>
  </si>
  <si>
    <t>* no estimated</t>
  </si>
  <si>
    <t>*</t>
  </si>
  <si>
    <t>fixed</t>
  </si>
  <si>
    <t>incidental</t>
  </si>
  <si>
    <t>provide $ totals  &gt;&gt;</t>
  </si>
  <si>
    <t>increase applied in yardage $ due to mortality'</t>
  </si>
  <si>
    <t>changes</t>
  </si>
  <si>
    <t>Current Situation</t>
  </si>
  <si>
    <t>Yardage $ (Base  + Incidental):</t>
  </si>
  <si>
    <t>Yardage (Base alone):</t>
  </si>
  <si>
    <t>&lt;&lt;  percentage breakdown</t>
  </si>
  <si>
    <t>change in Fixed</t>
  </si>
  <si>
    <r>
      <t xml:space="preserve">The </t>
    </r>
    <r>
      <rPr>
        <b/>
        <i/>
        <sz val="11"/>
        <color indexed="8"/>
        <rFont val="Calibri"/>
        <family val="2"/>
      </rPr>
      <t>Incidental</t>
    </r>
    <r>
      <rPr>
        <sz val="11"/>
        <color theme="1"/>
        <rFont val="Calibri"/>
        <family val="2"/>
      </rPr>
      <t xml:space="preserve"> charges are itemized charges that are added to the base when necessary since they are not the same for all pens.</t>
    </r>
  </si>
  <si>
    <t>Explanation</t>
  </si>
  <si>
    <r>
      <t xml:space="preserve">The Base Yardage charge is the value that should be charged per head per day.  It is both the </t>
    </r>
    <r>
      <rPr>
        <b/>
        <i/>
        <sz val="11"/>
        <color indexed="8"/>
        <rFont val="Calibri"/>
        <family val="2"/>
      </rPr>
      <t>Fixed</t>
    </r>
    <r>
      <rPr>
        <sz val="11"/>
        <color theme="1"/>
        <rFont val="Calibri"/>
        <family val="2"/>
      </rPr>
      <t xml:space="preserve"> and the </t>
    </r>
    <r>
      <rPr>
        <b/>
        <i/>
        <sz val="11"/>
        <color indexed="8"/>
        <rFont val="Calibri"/>
        <family val="2"/>
      </rPr>
      <t>Production</t>
    </r>
    <r>
      <rPr>
        <sz val="11"/>
        <color theme="1"/>
        <rFont val="Calibri"/>
        <family val="2"/>
      </rPr>
      <t xml:space="preserve"> components.</t>
    </r>
  </si>
  <si>
    <t>new</t>
  </si>
  <si>
    <t>current</t>
  </si>
  <si>
    <t>Total yardage per head finished:</t>
  </si>
  <si>
    <t>Overall Totals</t>
  </si>
  <si>
    <t>per head per day</t>
  </si>
  <si>
    <t>=</t>
  </si>
  <si>
    <t>Calculations</t>
  </si>
  <si>
    <t>Diesel $ / gallon</t>
  </si>
  <si>
    <t>Index</t>
  </si>
  <si>
    <t>Production - Expected</t>
  </si>
  <si>
    <t>Production - Incidental</t>
  </si>
  <si>
    <t>Total</t>
  </si>
  <si>
    <t>expected</t>
  </si>
  <si>
    <t>Components of Yardage</t>
  </si>
  <si>
    <t>*Base</t>
  </si>
  <si>
    <t>Per</t>
  </si>
  <si>
    <t>$ / Gallon:</t>
  </si>
  <si>
    <t>New diesel price $/gallon:</t>
  </si>
  <si>
    <t>Base diesel price $/gallon:</t>
  </si>
  <si>
    <t>Usually billed separately rather than part of yardage.</t>
  </si>
  <si>
    <t>Change</t>
  </si>
  <si>
    <t>Diesel Price at time the data below was determined</t>
  </si>
  <si>
    <t>* Base = fixed + expected charges</t>
  </si>
  <si>
    <t>The detailed information below can be adjusted if you desire</t>
  </si>
  <si>
    <t>Projecting New Year Yardage - provide new diesel fuel price below</t>
  </si>
  <si>
    <t>Yardage Components &amp; Diesel Fuel</t>
  </si>
  <si>
    <t xml:space="preserve">Notes Regarding Program </t>
  </si>
  <si>
    <t>Diesel / Energy price is a primary driver for all costs.  As Diesel price changes, yardage cost will follow and this app calculates the probable change needed,</t>
  </si>
  <si>
    <t>This is a cash outlay that is one big lump sum that does not change much, so it is kept here.</t>
  </si>
  <si>
    <t>Total $ for keeping the place looking respectable.</t>
  </si>
  <si>
    <t>Can be used in a number of ways - may want to enter as lump sum.</t>
  </si>
  <si>
    <t>In-house medical treatments.  Primarily medicine.</t>
  </si>
  <si>
    <t xml:space="preserve">Vet treatments on site.  </t>
  </si>
  <si>
    <t>Sick pen and chute charge are in this as well.</t>
  </si>
  <si>
    <t>Vaccinations, de-worming, ear tags, etc. in this category.</t>
  </si>
  <si>
    <t>JMJ Garland R.J. Dahlke 2010 / 2022</t>
  </si>
  <si>
    <t>= new yardage charge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</si>
</sst>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&quot;$&quot;#,##0.00"/>
    <numFmt numFmtId="167" formatCode="&quot;$&quot;#,##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60"/>
      <name val="Calibri"/>
      <family val="2"/>
    </font>
    <font>
      <sz val="11"/>
      <name val="Calibri"/>
      <family val="2"/>
    </font>
    <font>
      <sz val="11"/>
      <color indexed="13"/>
      <name val="Calibri"/>
      <family val="2"/>
    </font>
    <font>
      <b/>
      <sz val="11"/>
      <color indexed="60"/>
      <name val="Calibri"/>
      <family val="2"/>
    </font>
    <font>
      <b/>
      <sz val="11"/>
      <name val="Calibri"/>
      <family val="2"/>
    </font>
    <font>
      <b/>
      <sz val="24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43"/>
      <name val="Calibri"/>
      <family val="2"/>
    </font>
    <font>
      <sz val="11"/>
      <color indexed="8"/>
      <name val="Georgia"/>
      <family val="1"/>
    </font>
    <font>
      <b/>
      <sz val="14"/>
      <color indexed="9"/>
      <name val="Calibri"/>
      <family val="2"/>
    </font>
    <font>
      <i/>
      <sz val="11"/>
      <color indexed="9"/>
      <name val="Calibri"/>
      <family val="2"/>
    </font>
    <font>
      <i/>
      <sz val="11"/>
      <name val="Calibri"/>
      <family val="2"/>
    </font>
    <font>
      <b/>
      <i/>
      <sz val="11"/>
      <color indexed="9"/>
      <name val="Calibri"/>
      <family val="2"/>
    </font>
    <font>
      <b/>
      <i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rgb="FFC00000"/>
      <name val="Calibri"/>
      <family val="2"/>
    </font>
    <font>
      <sz val="11"/>
      <color rgb="FFFFFF00"/>
      <name val="Calibri"/>
      <family val="2"/>
    </font>
    <font>
      <b/>
      <sz val="11"/>
      <color rgb="FFC00000"/>
      <name val="Calibri"/>
      <family val="2"/>
    </font>
    <font>
      <b/>
      <sz val="24"/>
      <color theme="1"/>
      <name val="Calibri"/>
      <family val="2"/>
    </font>
    <font>
      <b/>
      <sz val="11"/>
      <color rgb="FFFFFF00"/>
      <name val="Calibri"/>
      <family val="2"/>
    </font>
    <font>
      <sz val="11"/>
      <color rgb="FFC00000"/>
      <name val="Calibri"/>
      <family val="2"/>
    </font>
    <font>
      <sz val="11"/>
      <color theme="2" tint="-0.0999699980020523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Georgia"/>
      <family val="1"/>
    </font>
    <font>
      <b/>
      <sz val="14"/>
      <color theme="0"/>
      <name val="Calibri"/>
      <family val="2"/>
    </font>
    <font>
      <i/>
      <sz val="11"/>
      <color theme="0"/>
      <name val="Calibri"/>
      <family val="2"/>
    </font>
    <font>
      <b/>
      <i/>
      <sz val="11"/>
      <color theme="0"/>
      <name val="Calibri"/>
      <family val="2"/>
    </font>
    <font>
      <b/>
      <i/>
      <sz val="11"/>
      <color rgb="FFC0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52" fillId="33" borderId="14" xfId="0" applyFont="1" applyFill="1" applyBorder="1" applyAlignment="1">
      <alignment horizontal="center"/>
    </xf>
    <xf numFmtId="0" fontId="52" fillId="33" borderId="0" xfId="0" applyFont="1" applyFill="1" applyBorder="1" applyAlignment="1">
      <alignment/>
    </xf>
    <xf numFmtId="0" fontId="52" fillId="33" borderId="15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3" borderId="18" xfId="0" applyNumberFormat="1" applyFill="1" applyBorder="1" applyAlignment="1">
      <alignment/>
    </xf>
    <xf numFmtId="164" fontId="0" fillId="3" borderId="19" xfId="0" applyNumberFormat="1" applyFill="1" applyBorder="1" applyAlignment="1">
      <alignment/>
    </xf>
    <xf numFmtId="0" fontId="52" fillId="33" borderId="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52" fillId="33" borderId="11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 horizontal="right"/>
    </xf>
    <xf numFmtId="164" fontId="0" fillId="3" borderId="20" xfId="0" applyNumberFormat="1" applyFill="1" applyBorder="1" applyAlignment="1">
      <alignment/>
    </xf>
    <xf numFmtId="0" fontId="0" fillId="33" borderId="21" xfId="0" applyFill="1" applyBorder="1" applyAlignment="1">
      <alignment/>
    </xf>
    <xf numFmtId="0" fontId="52" fillId="33" borderId="22" xfId="0" applyFont="1" applyFill="1" applyBorder="1" applyAlignment="1">
      <alignment horizontal="center"/>
    </xf>
    <xf numFmtId="0" fontId="54" fillId="33" borderId="22" xfId="0" applyFont="1" applyFill="1" applyBorder="1" applyAlignment="1">
      <alignment/>
    </xf>
    <xf numFmtId="0" fontId="0" fillId="34" borderId="11" xfId="0" applyFill="1" applyBorder="1" applyAlignment="1">
      <alignment horizontal="right"/>
    </xf>
    <xf numFmtId="0" fontId="52" fillId="33" borderId="23" xfId="0" applyFont="1" applyFill="1" applyBorder="1" applyAlignment="1">
      <alignment horizontal="center"/>
    </xf>
    <xf numFmtId="0" fontId="52" fillId="33" borderId="24" xfId="0" applyFont="1" applyFill="1" applyBorder="1" applyAlignment="1">
      <alignment horizontal="center"/>
    </xf>
    <xf numFmtId="164" fontId="0" fillId="3" borderId="25" xfId="0" applyNumberFormat="1" applyFill="1" applyBorder="1" applyAlignment="1">
      <alignment/>
    </xf>
    <xf numFmtId="164" fontId="0" fillId="3" borderId="26" xfId="0" applyNumberFormat="1" applyFill="1" applyBorder="1" applyAlignment="1">
      <alignment/>
    </xf>
    <xf numFmtId="164" fontId="0" fillId="3" borderId="27" xfId="0" applyNumberFormat="1" applyFill="1" applyBorder="1" applyAlignment="1">
      <alignment/>
    </xf>
    <xf numFmtId="0" fontId="55" fillId="4" borderId="12" xfId="0" applyFont="1" applyFill="1" applyBorder="1" applyAlignment="1">
      <alignment horizontal="center"/>
    </xf>
    <xf numFmtId="0" fontId="0" fillId="4" borderId="13" xfId="0" applyFill="1" applyBorder="1" applyAlignment="1">
      <alignment/>
    </xf>
    <xf numFmtId="0" fontId="55" fillId="4" borderId="22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55" fillId="4" borderId="28" xfId="0" applyFont="1" applyFill="1" applyBorder="1" applyAlignment="1">
      <alignment horizontal="center"/>
    </xf>
    <xf numFmtId="0" fontId="25" fillId="33" borderId="12" xfId="0" applyFont="1" applyFill="1" applyBorder="1" applyAlignment="1">
      <alignment/>
    </xf>
    <xf numFmtId="0" fontId="25" fillId="33" borderId="13" xfId="0" applyFont="1" applyFill="1" applyBorder="1" applyAlignment="1">
      <alignment/>
    </xf>
    <xf numFmtId="0" fontId="25" fillId="33" borderId="28" xfId="0" applyFont="1" applyFill="1" applyBorder="1" applyAlignment="1">
      <alignment/>
    </xf>
    <xf numFmtId="0" fontId="25" fillId="33" borderId="16" xfId="0" applyFon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" borderId="24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4" borderId="12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56" fillId="35" borderId="12" xfId="0" applyFont="1" applyFill="1" applyBorder="1" applyAlignment="1">
      <alignment/>
    </xf>
    <xf numFmtId="0" fontId="56" fillId="35" borderId="13" xfId="0" applyFont="1" applyFill="1" applyBorder="1" applyAlignment="1">
      <alignment/>
    </xf>
    <xf numFmtId="0" fontId="56" fillId="35" borderId="14" xfId="0" applyFont="1" applyFill="1" applyBorder="1" applyAlignment="1">
      <alignment/>
    </xf>
    <xf numFmtId="0" fontId="56" fillId="35" borderId="10" xfId="0" applyFont="1" applyFill="1" applyBorder="1" applyAlignment="1">
      <alignment/>
    </xf>
    <xf numFmtId="0" fontId="56" fillId="35" borderId="11" xfId="0" applyFont="1" applyFill="1" applyBorder="1" applyAlignment="1">
      <alignment/>
    </xf>
    <xf numFmtId="0" fontId="56" fillId="35" borderId="29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7" fillId="33" borderId="28" xfId="0" applyFont="1" applyFill="1" applyBorder="1" applyAlignment="1">
      <alignment/>
    </xf>
    <xf numFmtId="0" fontId="0" fillId="4" borderId="22" xfId="0" applyFill="1" applyBorder="1" applyAlignment="1">
      <alignment/>
    </xf>
    <xf numFmtId="0" fontId="38" fillId="36" borderId="28" xfId="0" applyFont="1" applyFill="1" applyBorder="1" applyAlignment="1">
      <alignment/>
    </xf>
    <xf numFmtId="0" fontId="38" fillId="36" borderId="16" xfId="0" applyFont="1" applyFill="1" applyBorder="1" applyAlignment="1">
      <alignment/>
    </xf>
    <xf numFmtId="0" fontId="38" fillId="36" borderId="17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28" fillId="33" borderId="13" xfId="0" applyFont="1" applyFill="1" applyBorder="1" applyAlignment="1">
      <alignment/>
    </xf>
    <xf numFmtId="0" fontId="28" fillId="33" borderId="14" xfId="0" applyFont="1" applyFill="1" applyBorder="1" applyAlignment="1">
      <alignment/>
    </xf>
    <xf numFmtId="0" fontId="41" fillId="36" borderId="16" xfId="0" applyFont="1" applyFill="1" applyBorder="1" applyAlignment="1">
      <alignment horizontal="right"/>
    </xf>
    <xf numFmtId="0" fontId="28" fillId="33" borderId="16" xfId="0" applyFont="1" applyFill="1" applyBorder="1" applyAlignment="1">
      <alignment horizontal="right"/>
    </xf>
    <xf numFmtId="0" fontId="0" fillId="0" borderId="32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38" fillId="36" borderId="0" xfId="0" applyFont="1" applyFill="1" applyAlignment="1">
      <alignment/>
    </xf>
    <xf numFmtId="0" fontId="52" fillId="33" borderId="33" xfId="0" applyFont="1" applyFill="1" applyBorder="1" applyAlignment="1">
      <alignment horizontal="center"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64" fontId="0" fillId="3" borderId="42" xfId="0" applyNumberFormat="1" applyFill="1" applyBorder="1" applyAlignment="1">
      <alignment/>
    </xf>
    <xf numFmtId="164" fontId="0" fillId="3" borderId="43" xfId="0" applyNumberFormat="1" applyFill="1" applyBorder="1" applyAlignment="1">
      <alignment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55" fillId="4" borderId="0" xfId="0" applyFont="1" applyFill="1" applyBorder="1" applyAlignment="1">
      <alignment horizontal="center"/>
    </xf>
    <xf numFmtId="0" fontId="55" fillId="4" borderId="22" xfId="0" applyFont="1" applyFill="1" applyBorder="1" applyAlignment="1">
      <alignment horizontal="left"/>
    </xf>
    <xf numFmtId="0" fontId="25" fillId="4" borderId="0" xfId="0" applyFont="1" applyFill="1" applyBorder="1" applyAlignment="1">
      <alignment horizontal="left"/>
    </xf>
    <xf numFmtId="0" fontId="25" fillId="4" borderId="13" xfId="0" applyFont="1" applyFill="1" applyBorder="1" applyAlignment="1">
      <alignment horizontal="left"/>
    </xf>
    <xf numFmtId="0" fontId="55" fillId="4" borderId="13" xfId="0" applyFont="1" applyFill="1" applyBorder="1" applyAlignment="1">
      <alignment horizontal="center"/>
    </xf>
    <xf numFmtId="0" fontId="55" fillId="4" borderId="14" xfId="0" applyFont="1" applyFill="1" applyBorder="1" applyAlignment="1">
      <alignment horizontal="center"/>
    </xf>
    <xf numFmtId="0" fontId="55" fillId="4" borderId="15" xfId="0" applyFont="1" applyFill="1" applyBorder="1" applyAlignment="1">
      <alignment horizontal="center"/>
    </xf>
    <xf numFmtId="0" fontId="25" fillId="4" borderId="16" xfId="0" applyFont="1" applyFill="1" applyBorder="1" applyAlignment="1">
      <alignment horizontal="left"/>
    </xf>
    <xf numFmtId="0" fontId="55" fillId="4" borderId="16" xfId="0" applyFont="1" applyFill="1" applyBorder="1" applyAlignment="1">
      <alignment horizontal="center"/>
    </xf>
    <xf numFmtId="0" fontId="55" fillId="4" borderId="17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4" borderId="22" xfId="0" applyFill="1" applyBorder="1" applyAlignment="1">
      <alignment horizontal="center"/>
    </xf>
    <xf numFmtId="0" fontId="0" fillId="0" borderId="15" xfId="0" applyBorder="1" applyAlignment="1">
      <alignment/>
    </xf>
    <xf numFmtId="0" fontId="28" fillId="33" borderId="23" xfId="0" applyFont="1" applyFill="1" applyBorder="1" applyAlignment="1">
      <alignment/>
    </xf>
    <xf numFmtId="0" fontId="58" fillId="0" borderId="0" xfId="0" applyFont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1" xfId="0" applyFill="1" applyBorder="1" applyAlignment="1" applyProtection="1">
      <alignment/>
      <protection locked="0"/>
    </xf>
    <xf numFmtId="0" fontId="0" fillId="36" borderId="29" xfId="0" applyFill="1" applyBorder="1" applyAlignment="1">
      <alignment/>
    </xf>
    <xf numFmtId="0" fontId="0" fillId="33" borderId="28" xfId="0" applyFill="1" applyBorder="1" applyAlignment="1">
      <alignment/>
    </xf>
    <xf numFmtId="0" fontId="0" fillId="3" borderId="33" xfId="0" applyFill="1" applyBorder="1" applyAlignment="1">
      <alignment/>
    </xf>
    <xf numFmtId="0" fontId="0" fillId="0" borderId="24" xfId="0" applyBorder="1" applyAlignment="1" applyProtection="1">
      <alignment/>
      <protection locked="0"/>
    </xf>
    <xf numFmtId="0" fontId="0" fillId="33" borderId="38" xfId="0" applyFill="1" applyBorder="1" applyAlignment="1">
      <alignment/>
    </xf>
    <xf numFmtId="0" fontId="0" fillId="3" borderId="18" xfId="0" applyFill="1" applyBorder="1" applyAlignment="1">
      <alignment/>
    </xf>
    <xf numFmtId="166" fontId="25" fillId="33" borderId="17" xfId="0" applyNumberFormat="1" applyFont="1" applyFill="1" applyBorder="1" applyAlignment="1">
      <alignment/>
    </xf>
    <xf numFmtId="0" fontId="59" fillId="35" borderId="10" xfId="0" applyFont="1" applyFill="1" applyBorder="1" applyAlignment="1">
      <alignment/>
    </xf>
    <xf numFmtId="0" fontId="28" fillId="33" borderId="13" xfId="0" applyFont="1" applyFill="1" applyBorder="1" applyAlignment="1">
      <alignment horizontal="center"/>
    </xf>
    <xf numFmtId="166" fontId="0" fillId="34" borderId="21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7" fontId="25" fillId="33" borderId="16" xfId="0" applyNumberFormat="1" applyFont="1" applyFill="1" applyBorder="1" applyAlignment="1">
      <alignment/>
    </xf>
    <xf numFmtId="167" fontId="25" fillId="33" borderId="33" xfId="0" applyNumberFormat="1" applyFont="1" applyFill="1" applyBorder="1" applyAlignment="1">
      <alignment/>
    </xf>
    <xf numFmtId="167" fontId="0" fillId="34" borderId="21" xfId="0" applyNumberFormat="1" applyFill="1" applyBorder="1" applyAlignment="1">
      <alignment/>
    </xf>
    <xf numFmtId="167" fontId="0" fillId="34" borderId="17" xfId="0" applyNumberFormat="1" applyFill="1" applyBorder="1" applyAlignment="1">
      <alignment/>
    </xf>
    <xf numFmtId="167" fontId="60" fillId="37" borderId="29" xfId="0" applyNumberFormat="1" applyFont="1" applyFill="1" applyBorder="1" applyAlignment="1">
      <alignment/>
    </xf>
    <xf numFmtId="167" fontId="60" fillId="37" borderId="21" xfId="0" applyNumberFormat="1" applyFont="1" applyFill="1" applyBorder="1" applyAlignment="1">
      <alignment/>
    </xf>
    <xf numFmtId="0" fontId="61" fillId="33" borderId="0" xfId="0" applyFont="1" applyFill="1" applyAlignment="1">
      <alignment/>
    </xf>
    <xf numFmtId="165" fontId="61" fillId="33" borderId="0" xfId="0" applyNumberFormat="1" applyFont="1" applyFill="1" applyAlignment="1">
      <alignment/>
    </xf>
    <xf numFmtId="164" fontId="61" fillId="33" borderId="0" xfId="0" applyNumberFormat="1" applyFont="1" applyFill="1" applyAlignment="1">
      <alignment/>
    </xf>
    <xf numFmtId="167" fontId="41" fillId="36" borderId="16" xfId="0" applyNumberFormat="1" applyFont="1" applyFill="1" applyBorder="1" applyAlignment="1">
      <alignment/>
    </xf>
    <xf numFmtId="167" fontId="41" fillId="36" borderId="33" xfId="0" applyNumberFormat="1" applyFont="1" applyFill="1" applyBorder="1" applyAlignment="1">
      <alignment/>
    </xf>
    <xf numFmtId="0" fontId="55" fillId="4" borderId="0" xfId="0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164" fontId="0" fillId="3" borderId="30" xfId="0" applyNumberFormat="1" applyFill="1" applyBorder="1" applyAlignment="1">
      <alignment/>
    </xf>
    <xf numFmtId="0" fontId="25" fillId="33" borderId="0" xfId="0" applyFont="1" applyFill="1" applyAlignment="1">
      <alignment/>
    </xf>
    <xf numFmtId="0" fontId="28" fillId="33" borderId="16" xfId="0" applyFont="1" applyFill="1" applyBorder="1" applyAlignment="1">
      <alignment/>
    </xf>
    <xf numFmtId="0" fontId="60" fillId="0" borderId="0" xfId="0" applyFont="1" applyBorder="1" applyAlignment="1">
      <alignment/>
    </xf>
    <xf numFmtId="0" fontId="0" fillId="33" borderId="16" xfId="0" applyFill="1" applyBorder="1" applyAlignment="1">
      <alignment/>
    </xf>
    <xf numFmtId="0" fontId="0" fillId="0" borderId="47" xfId="0" applyBorder="1" applyAlignment="1" applyProtection="1">
      <alignment/>
      <protection locked="0"/>
    </xf>
    <xf numFmtId="0" fontId="0" fillId="4" borderId="32" xfId="0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62" fillId="0" borderId="0" xfId="0" applyFont="1" applyBorder="1" applyAlignment="1">
      <alignment/>
    </xf>
    <xf numFmtId="166" fontId="25" fillId="34" borderId="2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4" fillId="36" borderId="11" xfId="0" applyFont="1" applyFill="1" applyBorder="1" applyAlignment="1">
      <alignment/>
    </xf>
    <xf numFmtId="166" fontId="65" fillId="36" borderId="16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65" fillId="36" borderId="17" xfId="0" applyFont="1" applyFill="1" applyBorder="1" applyAlignment="1">
      <alignment horizontal="right"/>
    </xf>
    <xf numFmtId="0" fontId="65" fillId="36" borderId="28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54" fillId="33" borderId="13" xfId="0" applyFont="1" applyFill="1" applyBorder="1" applyAlignment="1">
      <alignment/>
    </xf>
    <xf numFmtId="0" fontId="52" fillId="33" borderId="16" xfId="0" applyFont="1" applyFill="1" applyBorder="1" applyAlignment="1">
      <alignment horizontal="right"/>
    </xf>
    <xf numFmtId="0" fontId="62" fillId="33" borderId="16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0" fontId="38" fillId="4" borderId="0" xfId="0" applyFont="1" applyFill="1" applyBorder="1" applyAlignment="1">
      <alignment/>
    </xf>
    <xf numFmtId="0" fontId="35" fillId="4" borderId="0" xfId="0" applyFont="1" applyFill="1" applyBorder="1" applyAlignment="1">
      <alignment/>
    </xf>
    <xf numFmtId="0" fontId="0" fillId="33" borderId="29" xfId="0" applyFill="1" applyBorder="1" applyAlignment="1">
      <alignment/>
    </xf>
    <xf numFmtId="0" fontId="38" fillId="4" borderId="13" xfId="0" applyFont="1" applyFill="1" applyBorder="1" applyAlignment="1">
      <alignment/>
    </xf>
    <xf numFmtId="0" fontId="38" fillId="4" borderId="14" xfId="0" applyFont="1" applyFill="1" applyBorder="1" applyAlignment="1">
      <alignment/>
    </xf>
    <xf numFmtId="0" fontId="35" fillId="4" borderId="22" xfId="0" applyFont="1" applyFill="1" applyBorder="1" applyAlignment="1">
      <alignment/>
    </xf>
    <xf numFmtId="0" fontId="38" fillId="4" borderId="15" xfId="0" applyFont="1" applyFill="1" applyBorder="1" applyAlignment="1">
      <alignment/>
    </xf>
    <xf numFmtId="0" fontId="65" fillId="36" borderId="28" xfId="0" applyFont="1" applyFill="1" applyBorder="1" applyAlignment="1">
      <alignment/>
    </xf>
    <xf numFmtId="166" fontId="25" fillId="0" borderId="47" xfId="0" applyNumberFormat="1" applyFont="1" applyFill="1" applyBorder="1" applyAlignment="1" applyProtection="1">
      <alignment horizontal="center"/>
      <protection locked="0"/>
    </xf>
    <xf numFmtId="167" fontId="0" fillId="38" borderId="21" xfId="0" applyNumberFormat="1" applyFill="1" applyBorder="1" applyAlignment="1" applyProtection="1">
      <alignment/>
      <protection/>
    </xf>
    <xf numFmtId="167" fontId="0" fillId="3" borderId="48" xfId="0" applyNumberFormat="1" applyFill="1" applyBorder="1" applyAlignment="1" applyProtection="1">
      <alignment/>
      <protection/>
    </xf>
    <xf numFmtId="167" fontId="0" fillId="3" borderId="49" xfId="0" applyNumberFormat="1" applyFill="1" applyBorder="1" applyAlignment="1" applyProtection="1">
      <alignment/>
      <protection/>
    </xf>
    <xf numFmtId="167" fontId="0" fillId="3" borderId="50" xfId="0" applyNumberFormat="1" applyFill="1" applyBorder="1" applyAlignment="1" applyProtection="1">
      <alignment/>
      <protection/>
    </xf>
    <xf numFmtId="0" fontId="54" fillId="0" borderId="28" xfId="0" applyFont="1" applyBorder="1" applyAlignment="1">
      <alignment/>
    </xf>
    <xf numFmtId="0" fontId="65" fillId="36" borderId="10" xfId="0" applyFont="1" applyFill="1" applyBorder="1" applyAlignment="1">
      <alignment horizontal="center"/>
    </xf>
    <xf numFmtId="0" fontId="38" fillId="36" borderId="11" xfId="0" applyFont="1" applyFill="1" applyBorder="1" applyAlignment="1">
      <alignment/>
    </xf>
    <xf numFmtId="165" fontId="65" fillId="36" borderId="11" xfId="0" applyNumberFormat="1" applyFont="1" applyFill="1" applyBorder="1" applyAlignment="1">
      <alignment/>
    </xf>
    <xf numFmtId="0" fontId="65" fillId="36" borderId="11" xfId="0" applyFont="1" applyFill="1" applyBorder="1" applyAlignment="1">
      <alignment/>
    </xf>
    <xf numFmtId="0" fontId="38" fillId="36" borderId="29" xfId="0" applyFont="1" applyFill="1" applyBorder="1" applyAlignment="1">
      <alignment/>
    </xf>
    <xf numFmtId="166" fontId="0" fillId="3" borderId="26" xfId="0" applyNumberFormat="1" applyFill="1" applyBorder="1" applyAlignment="1" applyProtection="1">
      <alignment/>
      <protection/>
    </xf>
    <xf numFmtId="167" fontId="66" fillId="36" borderId="17" xfId="0" applyNumberFormat="1" applyFont="1" applyFill="1" applyBorder="1" applyAlignment="1">
      <alignment horizontal="right"/>
    </xf>
    <xf numFmtId="0" fontId="0" fillId="36" borderId="51" xfId="0" applyFill="1" applyBorder="1" applyAlignment="1">
      <alignment/>
    </xf>
    <xf numFmtId="10" fontId="66" fillId="36" borderId="17" xfId="0" applyNumberFormat="1" applyFont="1" applyFill="1" applyBorder="1" applyAlignment="1">
      <alignment horizontal="right"/>
    </xf>
    <xf numFmtId="166" fontId="35" fillId="36" borderId="16" xfId="0" applyNumberFormat="1" applyFont="1" applyFill="1" applyBorder="1" applyAlignment="1">
      <alignment/>
    </xf>
    <xf numFmtId="165" fontId="35" fillId="36" borderId="15" xfId="0" applyNumberFormat="1" applyFont="1" applyFill="1" applyBorder="1" applyAlignment="1">
      <alignment horizontal="center"/>
    </xf>
    <xf numFmtId="166" fontId="0" fillId="3" borderId="52" xfId="0" applyNumberFormat="1" applyFill="1" applyBorder="1" applyAlignment="1" applyProtection="1">
      <alignment/>
      <protection/>
    </xf>
    <xf numFmtId="0" fontId="67" fillId="0" borderId="22" xfId="0" applyFont="1" applyFill="1" applyBorder="1" applyAlignment="1">
      <alignment horizontal="left"/>
    </xf>
    <xf numFmtId="0" fontId="0" fillId="39" borderId="22" xfId="0" applyFill="1" applyBorder="1" applyAlignment="1">
      <alignment/>
    </xf>
    <xf numFmtId="0" fontId="55" fillId="39" borderId="22" xfId="0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54" fillId="39" borderId="0" xfId="0" applyFont="1" applyFill="1" applyBorder="1" applyAlignment="1">
      <alignment/>
    </xf>
    <xf numFmtId="0" fontId="55" fillId="39" borderId="0" xfId="0" applyFont="1" applyFill="1" applyBorder="1" applyAlignment="1">
      <alignment horizontal="center"/>
    </xf>
    <xf numFmtId="0" fontId="62" fillId="39" borderId="0" xfId="0" applyFont="1" applyFill="1" applyBorder="1" applyAlignment="1">
      <alignment/>
    </xf>
    <xf numFmtId="165" fontId="65" fillId="39" borderId="0" xfId="0" applyNumberFormat="1" applyFont="1" applyFill="1" applyBorder="1" applyAlignment="1">
      <alignment/>
    </xf>
    <xf numFmtId="0" fontId="65" fillId="39" borderId="0" xfId="0" applyFont="1" applyFill="1" applyBorder="1" applyAlignment="1">
      <alignment/>
    </xf>
    <xf numFmtId="0" fontId="38" fillId="39" borderId="0" xfId="0" applyFont="1" applyFill="1" applyBorder="1" applyAlignment="1">
      <alignment/>
    </xf>
    <xf numFmtId="165" fontId="54" fillId="39" borderId="0" xfId="0" applyNumberFormat="1" applyFont="1" applyFill="1" applyBorder="1" applyAlignment="1">
      <alignment/>
    </xf>
    <xf numFmtId="0" fontId="0" fillId="39" borderId="0" xfId="0" applyFill="1" applyAlignment="1">
      <alignment/>
    </xf>
    <xf numFmtId="0" fontId="60" fillId="39" borderId="0" xfId="0" applyFont="1" applyFill="1" applyBorder="1" applyAlignment="1">
      <alignment/>
    </xf>
    <xf numFmtId="0" fontId="25" fillId="39" borderId="0" xfId="0" applyFont="1" applyFill="1" applyBorder="1" applyAlignment="1">
      <alignment/>
    </xf>
    <xf numFmtId="0" fontId="60" fillId="39" borderId="0" xfId="0" applyFont="1" applyFill="1" applyBorder="1" applyAlignment="1">
      <alignment horizontal="center"/>
    </xf>
    <xf numFmtId="10" fontId="55" fillId="39" borderId="0" xfId="0" applyNumberFormat="1" applyFont="1" applyFill="1" applyBorder="1" applyAlignment="1">
      <alignment horizontal="center"/>
    </xf>
    <xf numFmtId="0" fontId="62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 horizontal="right"/>
    </xf>
    <xf numFmtId="164" fontId="60" fillId="39" borderId="0" xfId="0" applyNumberFormat="1" applyFont="1" applyFill="1" applyBorder="1" applyAlignment="1">
      <alignment/>
    </xf>
    <xf numFmtId="2" fontId="55" fillId="39" borderId="0" xfId="0" applyNumberFormat="1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5" fillId="0" borderId="0" xfId="0" applyFont="1" applyBorder="1" applyAlignment="1" quotePrefix="1">
      <alignment/>
    </xf>
    <xf numFmtId="0" fontId="55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1825"/>
          <c:w val="0.54975"/>
          <c:h val="0.69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'Diesel to Yardage Conversion'!$N$85:$N$87</c:f>
              <c:strCache/>
            </c:strRef>
          </c:cat>
          <c:val>
            <c:numRef>
              <c:f>'Diesel to Yardage Conversion'!$O$85:$O$87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25"/>
          <c:y val="0.20225"/>
          <c:w val="0.25425"/>
          <c:h val="0.5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10</xdr:row>
      <xdr:rowOff>47625</xdr:rowOff>
    </xdr:from>
    <xdr:to>
      <xdr:col>12</xdr:col>
      <xdr:colOff>161925</xdr:colOff>
      <xdr:row>12</xdr:row>
      <xdr:rowOff>857250</xdr:rowOff>
    </xdr:to>
    <xdr:graphicFrame>
      <xdr:nvGraphicFramePr>
        <xdr:cNvPr id="1" name="Chart 3"/>
        <xdr:cNvGraphicFramePr/>
      </xdr:nvGraphicFramePr>
      <xdr:xfrm>
        <a:off x="6305550" y="2590800"/>
        <a:ext cx="2743200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762000</xdr:colOff>
      <xdr:row>0</xdr:row>
      <xdr:rowOff>76200</xdr:rowOff>
    </xdr:from>
    <xdr:to>
      <xdr:col>7</xdr:col>
      <xdr:colOff>352425</xdr:colOff>
      <xdr:row>3</xdr:row>
      <xdr:rowOff>276225</xdr:rowOff>
    </xdr:to>
    <xdr:pic>
      <xdr:nvPicPr>
        <xdr:cNvPr id="2" name="Picture 6" descr="P101008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76200"/>
          <a:ext cx="1514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1</xdr:col>
      <xdr:colOff>1104900</xdr:colOff>
      <xdr:row>2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66675"/>
          <a:ext cx="1647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4"/>
  <sheetViews>
    <sheetView showGridLines="0" showRowColHeaders="0" tabSelected="1" zoomScalePageLayoutView="0" workbookViewId="0" topLeftCell="A1">
      <selection activeCell="C22" sqref="C22"/>
    </sheetView>
  </sheetViews>
  <sheetFormatPr defaultColWidth="8.8515625" defaultRowHeight="15"/>
  <cols>
    <col min="1" max="1" width="9.140625" style="10" customWidth="1"/>
    <col min="2" max="2" width="38.28125" style="0" customWidth="1"/>
    <col min="3" max="4" width="8.8515625" style="0" customWidth="1"/>
    <col min="5" max="5" width="13.7109375" style="0" customWidth="1"/>
    <col min="6" max="6" width="11.421875" style="0" customWidth="1"/>
    <col min="7" max="7" width="3.7109375" style="0" customWidth="1"/>
    <col min="8" max="9" width="8.8515625" style="0" customWidth="1"/>
    <col min="10" max="10" width="3.7109375" style="0" customWidth="1"/>
    <col min="11" max="11" width="9.00390625" style="0" customWidth="1"/>
    <col min="12" max="12" width="8.8515625" style="0" customWidth="1"/>
    <col min="13" max="13" width="4.421875" style="0" customWidth="1"/>
    <col min="14" max="14" width="4.8515625" style="42" customWidth="1"/>
    <col min="15" max="15" width="11.28125" style="42" customWidth="1"/>
    <col min="16" max="33" width="9.140625" style="42" customWidth="1"/>
  </cols>
  <sheetData>
    <row r="1" ht="15">
      <c r="A1" s="153"/>
    </row>
    <row r="2" spans="9:12" ht="15.75" customHeight="1" thickBot="1">
      <c r="I2" s="65"/>
      <c r="J2" s="65"/>
      <c r="K2" s="65"/>
      <c r="L2" s="65"/>
    </row>
    <row r="3" spans="2:31" ht="45" customHeight="1" thickBot="1">
      <c r="B3" s="112" t="s">
        <v>172</v>
      </c>
      <c r="I3" s="108"/>
      <c r="J3" s="108"/>
      <c r="K3" s="108"/>
      <c r="L3" s="108"/>
      <c r="O3" s="123" t="s">
        <v>173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3"/>
    </row>
    <row r="4" spans="3:31" ht="30" customHeight="1" thickBot="1">
      <c r="C4" s="97"/>
      <c r="D4" s="97"/>
      <c r="E4" s="97"/>
      <c r="F4" s="97"/>
      <c r="G4" s="97"/>
      <c r="H4" s="97"/>
      <c r="I4" s="62"/>
      <c r="J4" s="62"/>
      <c r="K4" s="62"/>
      <c r="L4" s="62"/>
      <c r="M4" s="97"/>
      <c r="O4" s="31" t="s">
        <v>125</v>
      </c>
      <c r="P4" s="101" t="s">
        <v>174</v>
      </c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3"/>
    </row>
    <row r="5" spans="1:31" ht="16.5" customHeight="1" thickBot="1">
      <c r="A5" s="113"/>
      <c r="B5" s="154" t="s">
        <v>155</v>
      </c>
      <c r="C5" s="114"/>
      <c r="D5" s="114"/>
      <c r="E5" s="114"/>
      <c r="F5" s="114"/>
      <c r="G5" s="114"/>
      <c r="H5" s="114"/>
      <c r="I5" s="115"/>
      <c r="J5" s="114"/>
      <c r="K5" s="114"/>
      <c r="L5" s="114"/>
      <c r="M5" s="116"/>
      <c r="O5" s="33"/>
      <c r="P5" s="100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104"/>
    </row>
    <row r="6" spans="1:31" ht="15">
      <c r="A6" s="150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110"/>
      <c r="O6" s="99" t="s">
        <v>113</v>
      </c>
      <c r="P6" s="100" t="s">
        <v>127</v>
      </c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104"/>
    </row>
    <row r="7" spans="1:31" ht="16.5" customHeight="1" thickBot="1">
      <c r="A7" s="150"/>
      <c r="B7" s="151" t="s">
        <v>171</v>
      </c>
      <c r="C7" s="97"/>
      <c r="D7" s="97"/>
      <c r="E7" s="97"/>
      <c r="F7" s="97"/>
      <c r="G7" s="97"/>
      <c r="H7" s="151"/>
      <c r="I7" s="97"/>
      <c r="J7" s="97"/>
      <c r="K7" s="97"/>
      <c r="L7" s="97"/>
      <c r="M7" s="110"/>
      <c r="O7" s="35"/>
      <c r="P7" s="105" t="s">
        <v>126</v>
      </c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7"/>
    </row>
    <row r="8" spans="1:13" ht="15.75" thickBot="1">
      <c r="A8" s="150"/>
      <c r="B8" s="60" t="s">
        <v>113</v>
      </c>
      <c r="C8" s="2" t="s">
        <v>154</v>
      </c>
      <c r="D8" s="2"/>
      <c r="E8" s="156" t="s">
        <v>158</v>
      </c>
      <c r="F8" s="159" t="s">
        <v>161</v>
      </c>
      <c r="G8" s="97"/>
      <c r="H8" s="97"/>
      <c r="I8" s="97"/>
      <c r="J8" s="97"/>
      <c r="K8" s="97"/>
      <c r="L8" s="97"/>
      <c r="M8" s="110"/>
    </row>
    <row r="9" spans="1:13" ht="15.75" thickBot="1">
      <c r="A9" s="150"/>
      <c r="B9" s="148" t="s">
        <v>164</v>
      </c>
      <c r="C9" s="147">
        <v>4</v>
      </c>
      <c r="D9" s="15" t="s">
        <v>152</v>
      </c>
      <c r="E9" s="175">
        <f>L80</f>
        <v>0.36461091953996205</v>
      </c>
      <c r="F9" s="173">
        <f>L81</f>
        <v>0.36461091953996205</v>
      </c>
      <c r="G9" s="211" t="s">
        <v>183</v>
      </c>
      <c r="H9" s="97"/>
      <c r="I9" s="97"/>
      <c r="J9" s="97"/>
      <c r="K9" s="97"/>
      <c r="L9" s="97"/>
      <c r="M9" s="110"/>
    </row>
    <row r="10" spans="1:13" ht="15">
      <c r="A10" s="150"/>
      <c r="B10" s="109" t="s">
        <v>165</v>
      </c>
      <c r="C10" s="189">
        <f>H18</f>
        <v>2.45</v>
      </c>
      <c r="D10" s="15" t="s">
        <v>152</v>
      </c>
      <c r="E10" s="174">
        <f>F80</f>
        <v>0.34076141552511413</v>
      </c>
      <c r="F10" s="176">
        <f>F81</f>
        <v>0.34076141552511413</v>
      </c>
      <c r="G10" s="97"/>
      <c r="H10" s="210" t="s">
        <v>160</v>
      </c>
      <c r="I10" s="97"/>
      <c r="J10" s="97"/>
      <c r="K10" s="97"/>
      <c r="L10" s="97"/>
      <c r="M10" s="110"/>
    </row>
    <row r="11" spans="1:13" ht="15.75" thickBot="1">
      <c r="A11" s="150"/>
      <c r="B11" s="158" t="s">
        <v>167</v>
      </c>
      <c r="C11" s="155">
        <f>C9-C10</f>
        <v>1.5499999999999998</v>
      </c>
      <c r="D11" s="188">
        <f>C12-1</f>
        <v>0.6326530612244896</v>
      </c>
      <c r="E11" s="157" t="str">
        <f>IF(F9&gt;F10,"Extra $/hd/day",IF(F9&lt;F10,"$/hd/day less","$ change"))</f>
        <v>Extra $/hd/day</v>
      </c>
      <c r="F11" s="184">
        <f>F9-F10</f>
        <v>0.023849504014847922</v>
      </c>
      <c r="G11" s="97"/>
      <c r="H11" s="97"/>
      <c r="I11" s="97"/>
      <c r="J11" s="97"/>
      <c r="K11" s="145"/>
      <c r="L11" s="97"/>
      <c r="M11" s="110"/>
    </row>
    <row r="12" spans="1:13" ht="15.75" thickBot="1">
      <c r="A12" s="150"/>
      <c r="B12" s="177" t="s">
        <v>169</v>
      </c>
      <c r="C12" s="187">
        <f>IF(C9="","",C9/C10)</f>
        <v>1.6326530612244896</v>
      </c>
      <c r="D12" s="185"/>
      <c r="E12" s="157" t="str">
        <f>IF(F9&gt;F10,"increase in total yardage",IF(F9&lt;F10,"decrease in total yardage",""))</f>
        <v>increase in total yardage</v>
      </c>
      <c r="F12" s="186">
        <f>F11/F10</f>
        <v>0.06998886296471031</v>
      </c>
      <c r="G12" s="97"/>
      <c r="H12" s="97"/>
      <c r="I12" s="97"/>
      <c r="J12" s="97"/>
      <c r="K12" s="145"/>
      <c r="L12" s="97"/>
      <c r="M12" s="110"/>
    </row>
    <row r="13" spans="1:31" ht="79.5" customHeight="1" thickBot="1">
      <c r="A13" s="190" t="s">
        <v>170</v>
      </c>
      <c r="G13" s="97"/>
      <c r="H13" s="97"/>
      <c r="I13" s="97"/>
      <c r="J13" s="97"/>
      <c r="K13" s="145"/>
      <c r="L13" s="97"/>
      <c r="M13" s="110"/>
      <c r="O13" s="149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19.5" thickBot="1">
      <c r="A14" s="178"/>
      <c r="B14" s="154" t="s">
        <v>153</v>
      </c>
      <c r="C14" s="179"/>
      <c r="D14" s="180"/>
      <c r="E14" s="181"/>
      <c r="F14" s="179"/>
      <c r="G14" s="179"/>
      <c r="H14" s="179"/>
      <c r="I14" s="179"/>
      <c r="J14" s="179"/>
      <c r="K14" s="179"/>
      <c r="L14" s="179"/>
      <c r="M14" s="182"/>
      <c r="O14" s="149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ht="15.75" thickBot="1">
      <c r="A15" s="191"/>
      <c r="B15" s="196" t="s">
        <v>139</v>
      </c>
      <c r="C15" s="193"/>
      <c r="D15" s="197"/>
      <c r="E15" s="198"/>
      <c r="F15" s="199"/>
      <c r="G15" s="199"/>
      <c r="H15" s="199"/>
      <c r="I15" s="199"/>
      <c r="J15" s="199"/>
      <c r="K15" s="199"/>
      <c r="L15" s="199"/>
      <c r="M15" s="199"/>
      <c r="O15" s="149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ht="15.75" thickBot="1">
      <c r="A16" s="191"/>
      <c r="B16" s="60" t="s">
        <v>109</v>
      </c>
      <c r="C16" s="61"/>
      <c r="D16" s="197"/>
      <c r="E16" s="60" t="s">
        <v>168</v>
      </c>
      <c r="F16" s="2"/>
      <c r="G16" s="2"/>
      <c r="H16" s="2"/>
      <c r="I16" s="166"/>
      <c r="J16" s="199"/>
      <c r="K16" s="199"/>
      <c r="L16" s="199"/>
      <c r="M16" s="199"/>
      <c r="O16" s="51" t="s">
        <v>124</v>
      </c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3"/>
    </row>
    <row r="17" spans="1:31" ht="15">
      <c r="A17" s="191"/>
      <c r="B17" s="43" t="s">
        <v>76</v>
      </c>
      <c r="C17" s="67">
        <v>2200</v>
      </c>
      <c r="D17" s="197"/>
      <c r="E17" s="43"/>
      <c r="F17" s="167"/>
      <c r="G17" s="167"/>
      <c r="H17" s="167"/>
      <c r="I17" s="168"/>
      <c r="J17" s="199"/>
      <c r="K17" s="199"/>
      <c r="L17" s="199"/>
      <c r="M17" s="199"/>
      <c r="O17" s="31" t="s">
        <v>108</v>
      </c>
      <c r="P17" s="32" t="s">
        <v>110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44"/>
    </row>
    <row r="18" spans="1:31" ht="15">
      <c r="A18" s="191"/>
      <c r="B18" s="56" t="s">
        <v>75</v>
      </c>
      <c r="C18" s="68">
        <v>2190</v>
      </c>
      <c r="D18" s="197"/>
      <c r="E18" s="169"/>
      <c r="F18" s="165" t="s">
        <v>163</v>
      </c>
      <c r="G18" s="164"/>
      <c r="H18" s="172">
        <v>2.45</v>
      </c>
      <c r="I18" s="170"/>
      <c r="J18" s="199"/>
      <c r="K18" s="199"/>
      <c r="L18" s="199"/>
      <c r="M18" s="199"/>
      <c r="O18" s="33" t="s">
        <v>107</v>
      </c>
      <c r="P18" s="34" t="s">
        <v>128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45"/>
    </row>
    <row r="19" spans="1:31" ht="15.75" thickBot="1">
      <c r="A19" s="192" t="s">
        <v>108</v>
      </c>
      <c r="B19" s="56" t="s">
        <v>36</v>
      </c>
      <c r="C19" s="119">
        <v>200</v>
      </c>
      <c r="D19" s="197"/>
      <c r="E19" s="171"/>
      <c r="F19" s="58"/>
      <c r="G19" s="58"/>
      <c r="H19" s="58"/>
      <c r="I19" s="59"/>
      <c r="J19" s="199"/>
      <c r="K19" s="199"/>
      <c r="L19" s="199"/>
      <c r="M19" s="199"/>
      <c r="O19" s="35" t="s">
        <v>106</v>
      </c>
      <c r="P19" s="46" t="s">
        <v>129</v>
      </c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7"/>
    </row>
    <row r="20" spans="1:31" ht="15">
      <c r="A20" s="192" t="s">
        <v>107</v>
      </c>
      <c r="B20" s="120" t="s">
        <v>30</v>
      </c>
      <c r="C20" s="121">
        <f>(C18*C19)+0.5*C19*(C17-C18)</f>
        <v>439000</v>
      </c>
      <c r="D20" s="197"/>
      <c r="E20" s="198"/>
      <c r="F20" s="199"/>
      <c r="G20" s="199"/>
      <c r="H20" s="199"/>
      <c r="I20" s="199"/>
      <c r="J20" s="199"/>
      <c r="K20" s="199"/>
      <c r="L20" s="199"/>
      <c r="M20" s="199"/>
      <c r="O20" s="149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ht="15.75" thickBot="1">
      <c r="A21" s="192" t="s">
        <v>106</v>
      </c>
      <c r="B21" s="117" t="s">
        <v>77</v>
      </c>
      <c r="C21" s="118">
        <f>(C18*C19)</f>
        <v>438000</v>
      </c>
      <c r="D21" s="200">
        <f>1-(C21/C20)</f>
        <v>0.002277904328018221</v>
      </c>
      <c r="E21" s="194" t="s">
        <v>137</v>
      </c>
      <c r="F21" s="199"/>
      <c r="G21" s="199"/>
      <c r="H21" s="199"/>
      <c r="I21" s="199"/>
      <c r="J21" s="199"/>
      <c r="K21" s="199"/>
      <c r="L21" s="199"/>
      <c r="M21" s="199"/>
      <c r="O21" s="149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13" ht="30" customHeight="1" thickBot="1">
      <c r="A22" s="193"/>
      <c r="B22" s="201"/>
      <c r="C22" s="201"/>
      <c r="D22" s="201"/>
      <c r="E22" s="201"/>
      <c r="F22" s="201"/>
      <c r="G22" s="201"/>
      <c r="H22" s="201"/>
      <c r="I22" s="201"/>
      <c r="J22" s="201"/>
      <c r="K22" s="202"/>
      <c r="L22" s="193"/>
      <c r="M22" s="201"/>
    </row>
    <row r="23" spans="1:13" ht="15">
      <c r="A23" s="193"/>
      <c r="B23" s="54" t="s">
        <v>4</v>
      </c>
      <c r="C23" s="4"/>
      <c r="D23" s="4"/>
      <c r="E23" s="14"/>
      <c r="F23" s="5" t="s">
        <v>162</v>
      </c>
      <c r="G23" s="201"/>
      <c r="H23" s="201"/>
      <c r="I23" s="26"/>
      <c r="J23" s="201"/>
      <c r="K23" s="202"/>
      <c r="L23" s="193"/>
      <c r="M23" s="201"/>
    </row>
    <row r="24" spans="1:13" ht="15.75" thickBot="1">
      <c r="A24" s="193"/>
      <c r="B24" s="24" t="s">
        <v>5</v>
      </c>
      <c r="C24" s="15"/>
      <c r="D24" s="15"/>
      <c r="E24" s="7" t="s">
        <v>25</v>
      </c>
      <c r="F24" s="7" t="s">
        <v>29</v>
      </c>
      <c r="G24" s="201"/>
      <c r="H24" s="201"/>
      <c r="I24" s="27" t="s">
        <v>72</v>
      </c>
      <c r="J24" s="201"/>
      <c r="K24" s="212" t="s">
        <v>131</v>
      </c>
      <c r="L24" s="213"/>
      <c r="M24" s="201"/>
    </row>
    <row r="25" spans="1:31" ht="15.75" thickBot="1">
      <c r="A25" s="194" t="s">
        <v>26</v>
      </c>
      <c r="B25" s="55" t="s">
        <v>23</v>
      </c>
      <c r="C25" s="16"/>
      <c r="D25" s="16"/>
      <c r="E25" s="9" t="s">
        <v>24</v>
      </c>
      <c r="F25" s="9" t="s">
        <v>35</v>
      </c>
      <c r="G25" s="201"/>
      <c r="H25" s="201"/>
      <c r="I25" s="27" t="s">
        <v>71</v>
      </c>
      <c r="J25" s="201"/>
      <c r="K25" s="212" t="s">
        <v>143</v>
      </c>
      <c r="L25" s="213"/>
      <c r="M25" s="201"/>
      <c r="O25" s="51" t="s">
        <v>89</v>
      </c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3"/>
    </row>
    <row r="26" spans="1:31" ht="15.75" thickBot="1">
      <c r="A26" s="195" t="s">
        <v>37</v>
      </c>
      <c r="B26" s="56" t="s">
        <v>0</v>
      </c>
      <c r="C26" s="139" t="s">
        <v>136</v>
      </c>
      <c r="D26" s="140"/>
      <c r="E26" s="63">
        <v>10000</v>
      </c>
      <c r="F26" s="142">
        <f aca="true" t="shared" si="0" ref="F26:F33">IF($C$21=0,0,E26/C$21)</f>
        <v>0.0228310502283105</v>
      </c>
      <c r="G26" s="201"/>
      <c r="H26" s="201"/>
      <c r="I26" s="11">
        <f aca="true" t="shared" si="1" ref="I26:I33">IF($C$17=0,E26,E26/$C$18)</f>
        <v>4.566210045662101</v>
      </c>
      <c r="J26" s="201"/>
      <c r="K26" s="212" t="s">
        <v>130</v>
      </c>
      <c r="L26" s="213"/>
      <c r="M26" s="201"/>
      <c r="O26" s="33" t="s">
        <v>37</v>
      </c>
      <c r="P26" s="34" t="s">
        <v>85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45"/>
    </row>
    <row r="27" spans="1:31" ht="15.75" thickBot="1">
      <c r="A27" s="195" t="s">
        <v>38</v>
      </c>
      <c r="B27" s="56" t="s">
        <v>9</v>
      </c>
      <c r="C27" s="140"/>
      <c r="D27" s="140"/>
      <c r="E27" s="64">
        <v>1000</v>
      </c>
      <c r="F27" s="21">
        <f t="shared" si="0"/>
        <v>0.00228310502283105</v>
      </c>
      <c r="G27" s="201"/>
      <c r="H27" s="201"/>
      <c r="I27" s="11">
        <f t="shared" si="1"/>
        <v>0.45662100456621</v>
      </c>
      <c r="J27" s="201"/>
      <c r="K27" s="202"/>
      <c r="L27" s="193"/>
      <c r="M27" s="201"/>
      <c r="O27" s="33" t="s">
        <v>38</v>
      </c>
      <c r="P27" s="34" t="s">
        <v>175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45"/>
    </row>
    <row r="28" spans="1:31" ht="15.75" thickBot="1">
      <c r="A28" s="195" t="s">
        <v>39</v>
      </c>
      <c r="B28" s="56" t="s">
        <v>1</v>
      </c>
      <c r="C28" s="140"/>
      <c r="D28" s="140"/>
      <c r="E28" s="64">
        <v>10000</v>
      </c>
      <c r="F28" s="21">
        <f t="shared" si="0"/>
        <v>0.0228310502283105</v>
      </c>
      <c r="G28" s="201"/>
      <c r="H28" s="201"/>
      <c r="I28" s="11">
        <f t="shared" si="1"/>
        <v>4.566210045662101</v>
      </c>
      <c r="J28" s="201"/>
      <c r="K28" s="202"/>
      <c r="L28" s="193"/>
      <c r="M28" s="201"/>
      <c r="O28" s="33" t="s">
        <v>39</v>
      </c>
      <c r="P28" s="34" t="s">
        <v>176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45"/>
    </row>
    <row r="29" spans="1:31" ht="15.75" thickBot="1">
      <c r="A29" s="195" t="s">
        <v>40</v>
      </c>
      <c r="B29" s="56" t="s">
        <v>2</v>
      </c>
      <c r="C29" s="140"/>
      <c r="D29" s="140"/>
      <c r="E29" s="64">
        <v>5000</v>
      </c>
      <c r="F29" s="21">
        <f t="shared" si="0"/>
        <v>0.01141552511415525</v>
      </c>
      <c r="G29" s="201"/>
      <c r="H29" s="201"/>
      <c r="I29" s="11">
        <f t="shared" si="1"/>
        <v>2.2831050228310503</v>
      </c>
      <c r="J29" s="201"/>
      <c r="K29" s="202"/>
      <c r="L29" s="193"/>
      <c r="M29" s="201"/>
      <c r="O29" s="33" t="s">
        <v>40</v>
      </c>
      <c r="P29" s="34" t="s">
        <v>86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45"/>
    </row>
    <row r="30" spans="1:31" ht="15.75" thickBot="1">
      <c r="A30" s="195" t="s">
        <v>41</v>
      </c>
      <c r="B30" s="56" t="s">
        <v>3</v>
      </c>
      <c r="C30" s="140"/>
      <c r="D30" s="140"/>
      <c r="E30" s="64">
        <v>3000</v>
      </c>
      <c r="F30" s="21">
        <f t="shared" si="0"/>
        <v>0.00684931506849315</v>
      </c>
      <c r="G30" s="201"/>
      <c r="H30" s="201"/>
      <c r="I30" s="11">
        <f t="shared" si="1"/>
        <v>1.36986301369863</v>
      </c>
      <c r="J30" s="201"/>
      <c r="K30" s="202"/>
      <c r="L30" s="193"/>
      <c r="M30" s="201"/>
      <c r="O30" s="33" t="s">
        <v>41</v>
      </c>
      <c r="P30" s="34" t="s">
        <v>87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45"/>
    </row>
    <row r="31" spans="1:31" ht="15.75" thickBot="1">
      <c r="A31" s="195" t="s">
        <v>42</v>
      </c>
      <c r="B31" s="75" t="s">
        <v>6</v>
      </c>
      <c r="C31" s="140"/>
      <c r="D31" s="140"/>
      <c r="E31" s="64"/>
      <c r="F31" s="21">
        <f t="shared" si="0"/>
        <v>0</v>
      </c>
      <c r="G31" s="201"/>
      <c r="H31" s="201"/>
      <c r="I31" s="11">
        <f t="shared" si="1"/>
        <v>0</v>
      </c>
      <c r="J31" s="201"/>
      <c r="K31" s="202"/>
      <c r="L31" s="193"/>
      <c r="M31" s="201"/>
      <c r="O31" s="33" t="s">
        <v>42</v>
      </c>
      <c r="P31" s="34" t="s">
        <v>88</v>
      </c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45"/>
    </row>
    <row r="32" spans="1:31" ht="15.75" thickBot="1">
      <c r="A32" s="195" t="s">
        <v>43</v>
      </c>
      <c r="B32" s="76" t="s">
        <v>7</v>
      </c>
      <c r="C32" s="140"/>
      <c r="D32" s="140"/>
      <c r="E32" s="64"/>
      <c r="F32" s="21">
        <f t="shared" si="0"/>
        <v>0</v>
      </c>
      <c r="G32" s="201"/>
      <c r="H32" s="201"/>
      <c r="I32" s="11">
        <f t="shared" si="1"/>
        <v>0</v>
      </c>
      <c r="J32" s="201"/>
      <c r="K32" s="202"/>
      <c r="L32" s="193"/>
      <c r="M32" s="201"/>
      <c r="O32" s="33" t="s">
        <v>43</v>
      </c>
      <c r="P32" s="34" t="s">
        <v>88</v>
      </c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45"/>
    </row>
    <row r="33" spans="1:31" ht="15.75" thickBot="1">
      <c r="A33" s="195" t="s">
        <v>44</v>
      </c>
      <c r="B33" s="70" t="s">
        <v>8</v>
      </c>
      <c r="C33" s="141"/>
      <c r="D33" s="140"/>
      <c r="E33" s="66"/>
      <c r="F33" s="21">
        <f t="shared" si="0"/>
        <v>0</v>
      </c>
      <c r="G33" s="201"/>
      <c r="H33" s="201"/>
      <c r="I33" s="11">
        <f t="shared" si="1"/>
        <v>0</v>
      </c>
      <c r="J33" s="201"/>
      <c r="K33" s="202"/>
      <c r="L33" s="193"/>
      <c r="M33" s="201"/>
      <c r="O33" s="35" t="s">
        <v>44</v>
      </c>
      <c r="P33" s="46" t="s">
        <v>88</v>
      </c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7"/>
    </row>
    <row r="34" spans="1:13" ht="15.75" thickBot="1">
      <c r="A34" s="193"/>
      <c r="B34" s="18"/>
      <c r="C34" s="19"/>
      <c r="D34" s="25" t="s">
        <v>33</v>
      </c>
      <c r="E34" s="125">
        <f>SUM(E26:E33)</f>
        <v>29000</v>
      </c>
      <c r="F34" s="130">
        <f>F26+F27+F28+F29+F30+F31+F32+F33</f>
        <v>0.06621004566210045</v>
      </c>
      <c r="G34" s="201"/>
      <c r="H34" s="201"/>
      <c r="I34" s="125">
        <f>IF(C18=0,E34,E34/C18)</f>
        <v>13.242009132420092</v>
      </c>
      <c r="J34" s="201"/>
      <c r="K34" s="202"/>
      <c r="L34" s="193"/>
      <c r="M34" s="201"/>
    </row>
    <row r="35" spans="1:13" ht="15">
      <c r="A35" s="193"/>
      <c r="B35" s="201"/>
      <c r="C35" s="201"/>
      <c r="D35" s="201"/>
      <c r="E35" s="201"/>
      <c r="F35" s="201"/>
      <c r="G35" s="201"/>
      <c r="H35" s="201"/>
      <c r="I35" s="201"/>
      <c r="J35" s="201"/>
      <c r="K35" s="212" t="s">
        <v>132</v>
      </c>
      <c r="L35" s="213"/>
      <c r="M35" s="201"/>
    </row>
    <row r="36" spans="1:13" ht="15.75" thickBot="1">
      <c r="A36" s="193"/>
      <c r="B36" s="201"/>
      <c r="C36" s="201"/>
      <c r="D36" s="201"/>
      <c r="E36" s="201"/>
      <c r="F36" s="201"/>
      <c r="G36" s="201"/>
      <c r="H36" s="201"/>
      <c r="I36" s="201"/>
      <c r="J36" s="201"/>
      <c r="K36" s="212" t="s">
        <v>138</v>
      </c>
      <c r="L36" s="213"/>
      <c r="M36" s="201"/>
    </row>
    <row r="37" spans="1:13" ht="15">
      <c r="A37" s="193"/>
      <c r="B37" s="54" t="s">
        <v>156</v>
      </c>
      <c r="C37" s="4"/>
      <c r="D37" s="4"/>
      <c r="E37" s="4"/>
      <c r="F37" s="5" t="s">
        <v>162</v>
      </c>
      <c r="G37" s="201"/>
      <c r="H37" s="3"/>
      <c r="I37" s="5"/>
      <c r="J37" s="201"/>
      <c r="K37" s="202"/>
      <c r="L37" s="26" t="s">
        <v>114</v>
      </c>
      <c r="M37" s="201"/>
    </row>
    <row r="38" spans="1:13" ht="15.75" thickBot="1">
      <c r="A38" s="193"/>
      <c r="B38" s="24" t="s">
        <v>10</v>
      </c>
      <c r="C38" s="6" t="s">
        <v>25</v>
      </c>
      <c r="D38" s="6"/>
      <c r="E38" s="6" t="s">
        <v>25</v>
      </c>
      <c r="F38" s="7" t="s">
        <v>29</v>
      </c>
      <c r="G38" s="201"/>
      <c r="H38" s="23" t="s">
        <v>27</v>
      </c>
      <c r="I38" s="7" t="s">
        <v>72</v>
      </c>
      <c r="J38" s="201"/>
      <c r="K38" s="202"/>
      <c r="L38" s="27" t="s">
        <v>29</v>
      </c>
      <c r="M38" s="201"/>
    </row>
    <row r="39" spans="1:31" ht="15.75" thickBot="1">
      <c r="A39" s="194" t="s">
        <v>26</v>
      </c>
      <c r="B39" s="55" t="s">
        <v>23</v>
      </c>
      <c r="C39" s="13" t="s">
        <v>27</v>
      </c>
      <c r="D39" s="13" t="s">
        <v>28</v>
      </c>
      <c r="E39" s="13" t="s">
        <v>35</v>
      </c>
      <c r="F39" s="7" t="s">
        <v>35</v>
      </c>
      <c r="G39" s="201"/>
      <c r="H39" s="23" t="s">
        <v>71</v>
      </c>
      <c r="I39" s="7" t="s">
        <v>71</v>
      </c>
      <c r="J39" s="201"/>
      <c r="K39" s="202"/>
      <c r="L39" s="78" t="s">
        <v>35</v>
      </c>
      <c r="M39" s="201"/>
      <c r="O39" s="51" t="s">
        <v>100</v>
      </c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3"/>
    </row>
    <row r="40" spans="1:31" ht="15">
      <c r="A40" s="195" t="s">
        <v>45</v>
      </c>
      <c r="B40" s="43" t="s">
        <v>11</v>
      </c>
      <c r="C40" s="85">
        <v>5000</v>
      </c>
      <c r="D40" s="86">
        <v>15</v>
      </c>
      <c r="E40" s="79">
        <f>C40*D40</f>
        <v>75000</v>
      </c>
      <c r="F40" s="21">
        <f aca="true" t="shared" si="2" ref="F40:F59">IF($C$21=0,0,E40/C$21)</f>
        <v>0.17123287671232876</v>
      </c>
      <c r="G40" s="201"/>
      <c r="H40" s="28">
        <f aca="true" t="shared" si="3" ref="H40:H59">IF($C$17=0,0,C40/$C$18)</f>
        <v>2.2831050228310503</v>
      </c>
      <c r="I40" s="29">
        <f>H40*D40</f>
        <v>34.24657534246575</v>
      </c>
      <c r="J40" s="201"/>
      <c r="K40" s="204" t="s">
        <v>133</v>
      </c>
      <c r="L40" s="21">
        <f>F40</f>
        <v>0.17123287671232876</v>
      </c>
      <c r="M40" s="201"/>
      <c r="O40" s="31" t="s">
        <v>45</v>
      </c>
      <c r="P40" s="32" t="s">
        <v>90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44"/>
    </row>
    <row r="41" spans="1:31" ht="15">
      <c r="A41" s="195" t="s">
        <v>46</v>
      </c>
      <c r="B41" s="56" t="s">
        <v>31</v>
      </c>
      <c r="C41" s="76">
        <v>1000</v>
      </c>
      <c r="D41" s="183">
        <f>H18</f>
        <v>2.45</v>
      </c>
      <c r="E41" s="80">
        <f>C41*D41</f>
        <v>2450</v>
      </c>
      <c r="F41" s="11">
        <f t="shared" si="2"/>
        <v>0.005593607305936073</v>
      </c>
      <c r="G41" s="201"/>
      <c r="H41" s="28">
        <f t="shared" si="3"/>
        <v>0.45662100456621</v>
      </c>
      <c r="I41" s="29">
        <f aca="true" t="shared" si="4" ref="I41:I59">H41*D41</f>
        <v>1.1187214611872147</v>
      </c>
      <c r="J41" s="201"/>
      <c r="K41" s="195">
        <f>C9</f>
        <v>4</v>
      </c>
      <c r="L41" s="11">
        <f>F41*C12</f>
        <v>0.0091324200913242</v>
      </c>
      <c r="M41" s="201"/>
      <c r="O41" s="33" t="s">
        <v>46</v>
      </c>
      <c r="P41" s="34" t="s">
        <v>91</v>
      </c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45"/>
    </row>
    <row r="42" spans="1:31" ht="15">
      <c r="A42" s="195" t="s">
        <v>47</v>
      </c>
      <c r="B42" s="56" t="s">
        <v>32</v>
      </c>
      <c r="C42" s="76">
        <v>250</v>
      </c>
      <c r="D42" s="87">
        <v>2.71</v>
      </c>
      <c r="E42" s="80">
        <f>C42*D42</f>
        <v>677.5</v>
      </c>
      <c r="F42" s="11">
        <f t="shared" si="2"/>
        <v>0.0015468036529680364</v>
      </c>
      <c r="G42" s="201"/>
      <c r="H42" s="28">
        <f t="shared" si="3"/>
        <v>0.1141552511415525</v>
      </c>
      <c r="I42" s="29">
        <f t="shared" si="4"/>
        <v>0.3093607305936073</v>
      </c>
      <c r="J42" s="201"/>
      <c r="K42" s="209">
        <f>(0.115+0.885*C12)*D42</f>
        <v>4.227323469387755</v>
      </c>
      <c r="L42" s="11">
        <f>(0.115+0.885*C12)*F42</f>
        <v>0.0024128558615226906</v>
      </c>
      <c r="M42" s="201"/>
      <c r="O42" s="33" t="s">
        <v>47</v>
      </c>
      <c r="P42" s="34" t="s">
        <v>91</v>
      </c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45"/>
    </row>
    <row r="43" spans="1:31" ht="15">
      <c r="A43" s="195" t="s">
        <v>48</v>
      </c>
      <c r="B43" s="56" t="s">
        <v>12</v>
      </c>
      <c r="C43" s="76">
        <v>2200</v>
      </c>
      <c r="D43" s="87">
        <v>0.08</v>
      </c>
      <c r="E43" s="80">
        <f aca="true" t="shared" si="5" ref="E43:E59">C43*D43</f>
        <v>176</v>
      </c>
      <c r="F43" s="11">
        <f t="shared" si="2"/>
        <v>0.00040182648401826485</v>
      </c>
      <c r="G43" s="201"/>
      <c r="H43" s="28">
        <f t="shared" si="3"/>
        <v>1.004566210045662</v>
      </c>
      <c r="I43" s="29">
        <f t="shared" si="4"/>
        <v>0.08036529680365297</v>
      </c>
      <c r="J43" s="201"/>
      <c r="K43" s="209">
        <f>(0.754+0.246*$C$12)*D43</f>
        <v>0.09245061224489795</v>
      </c>
      <c r="L43" s="11">
        <f>(0.754+0.246*C12)*F43</f>
        <v>0.0004643638057962911</v>
      </c>
      <c r="M43" s="201"/>
      <c r="O43" s="33" t="s">
        <v>48</v>
      </c>
      <c r="P43" s="34" t="s">
        <v>92</v>
      </c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45"/>
    </row>
    <row r="44" spans="1:31" ht="15">
      <c r="A44" s="195" t="s">
        <v>49</v>
      </c>
      <c r="B44" s="56" t="s">
        <v>13</v>
      </c>
      <c r="C44" s="88">
        <v>2000</v>
      </c>
      <c r="D44" s="89">
        <v>1</v>
      </c>
      <c r="E44" s="80">
        <f t="shared" si="5"/>
        <v>2000</v>
      </c>
      <c r="F44" s="11">
        <f t="shared" si="2"/>
        <v>0.0045662100456621</v>
      </c>
      <c r="G44" s="201"/>
      <c r="H44" s="28">
        <f t="shared" si="3"/>
        <v>0.91324200913242</v>
      </c>
      <c r="I44" s="29">
        <f t="shared" si="4"/>
        <v>0.91324200913242</v>
      </c>
      <c r="J44" s="201"/>
      <c r="K44" s="204"/>
      <c r="L44" s="11">
        <f>(((-0.315+1.315*C12)+(1.078-0.078*C12)+1)/3)*F44</f>
        <v>0.0057573696145124705</v>
      </c>
      <c r="M44" s="201"/>
      <c r="O44" s="33" t="s">
        <v>49</v>
      </c>
      <c r="P44" s="34" t="s">
        <v>93</v>
      </c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45"/>
    </row>
    <row r="45" spans="1:31" ht="15">
      <c r="A45" s="195" t="s">
        <v>81</v>
      </c>
      <c r="B45" s="56" t="s">
        <v>122</v>
      </c>
      <c r="C45" s="88">
        <v>6000</v>
      </c>
      <c r="D45" s="89">
        <v>1</v>
      </c>
      <c r="E45" s="80">
        <f t="shared" si="5"/>
        <v>6000</v>
      </c>
      <c r="F45" s="11">
        <f t="shared" si="2"/>
        <v>0.0136986301369863</v>
      </c>
      <c r="G45" s="201"/>
      <c r="H45" s="28">
        <f t="shared" si="3"/>
        <v>2.73972602739726</v>
      </c>
      <c r="I45" s="29">
        <f t="shared" si="4"/>
        <v>2.73972602739726</v>
      </c>
      <c r="J45" s="201"/>
      <c r="K45" s="204"/>
      <c r="L45" s="11">
        <f>((-0.315+1.315*$C$12)*F45+(-0.445+1.445*$C$12)*F45)/2</f>
        <v>0.02565837293821638</v>
      </c>
      <c r="M45" s="201"/>
      <c r="O45" s="33" t="s">
        <v>81</v>
      </c>
      <c r="P45" s="34" t="s">
        <v>96</v>
      </c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45"/>
    </row>
    <row r="46" spans="1:31" ht="15">
      <c r="A46" s="195" t="s">
        <v>82</v>
      </c>
      <c r="B46" s="56" t="s">
        <v>83</v>
      </c>
      <c r="C46" s="88">
        <v>14</v>
      </c>
      <c r="D46" s="89">
        <v>70</v>
      </c>
      <c r="E46" s="80">
        <f t="shared" si="5"/>
        <v>980</v>
      </c>
      <c r="F46" s="11">
        <f t="shared" si="2"/>
        <v>0.002237442922374429</v>
      </c>
      <c r="G46" s="201"/>
      <c r="H46" s="28">
        <f t="shared" si="3"/>
        <v>0.006392694063926941</v>
      </c>
      <c r="I46" s="29">
        <f t="shared" si="4"/>
        <v>0.4474885844748859</v>
      </c>
      <c r="J46" s="201"/>
      <c r="K46" s="204" t="s">
        <v>133</v>
      </c>
      <c r="L46" s="11">
        <f>F46</f>
        <v>0.002237442922374429</v>
      </c>
      <c r="M46" s="201"/>
      <c r="O46" s="33" t="s">
        <v>82</v>
      </c>
      <c r="P46" s="34" t="s">
        <v>94</v>
      </c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45"/>
    </row>
    <row r="47" spans="1:31" ht="15">
      <c r="A47" s="195" t="s">
        <v>80</v>
      </c>
      <c r="B47" s="56" t="s">
        <v>84</v>
      </c>
      <c r="C47" s="88">
        <v>10</v>
      </c>
      <c r="D47" s="89">
        <v>50</v>
      </c>
      <c r="E47" s="80">
        <f t="shared" si="5"/>
        <v>500</v>
      </c>
      <c r="F47" s="11">
        <f t="shared" si="2"/>
        <v>0.001141552511415525</v>
      </c>
      <c r="G47" s="201"/>
      <c r="H47" s="28">
        <f t="shared" si="3"/>
        <v>0.0045662100456621</v>
      </c>
      <c r="I47" s="29">
        <f t="shared" si="4"/>
        <v>0.228310502283105</v>
      </c>
      <c r="J47" s="201"/>
      <c r="K47" s="204"/>
      <c r="L47" s="11">
        <f>(9*F47+F47*C$12)/10</f>
        <v>0.0012137731805050788</v>
      </c>
      <c r="M47" s="201"/>
      <c r="O47" s="33" t="s">
        <v>80</v>
      </c>
      <c r="P47" s="34" t="s">
        <v>95</v>
      </c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45"/>
    </row>
    <row r="48" spans="1:31" ht="15">
      <c r="A48" s="195" t="s">
        <v>50</v>
      </c>
      <c r="B48" s="56" t="s">
        <v>116</v>
      </c>
      <c r="C48" s="88">
        <v>200</v>
      </c>
      <c r="D48" s="89">
        <v>1</v>
      </c>
      <c r="E48" s="80">
        <f t="shared" si="5"/>
        <v>200</v>
      </c>
      <c r="F48" s="11">
        <f t="shared" si="2"/>
        <v>0.00045662100456621003</v>
      </c>
      <c r="G48" s="201"/>
      <c r="H48" s="28">
        <f t="shared" si="3"/>
        <v>0.091324200913242</v>
      </c>
      <c r="I48" s="29">
        <f t="shared" si="4"/>
        <v>0.091324200913242</v>
      </c>
      <c r="J48" s="201"/>
      <c r="K48" s="209"/>
      <c r="L48" s="11">
        <f>(-0.445+1.445*$C$12)*F48</f>
        <v>0.0008740564719038299</v>
      </c>
      <c r="M48" s="201"/>
      <c r="O48" s="33" t="s">
        <v>50</v>
      </c>
      <c r="P48" s="34" t="s">
        <v>117</v>
      </c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45"/>
    </row>
    <row r="49" spans="1:31" ht="15">
      <c r="A49" s="195" t="s">
        <v>51</v>
      </c>
      <c r="B49" s="56" t="s">
        <v>14</v>
      </c>
      <c r="C49" s="88">
        <v>0</v>
      </c>
      <c r="D49" s="89">
        <v>1</v>
      </c>
      <c r="E49" s="80">
        <f t="shared" si="5"/>
        <v>0</v>
      </c>
      <c r="F49" s="11">
        <f t="shared" si="2"/>
        <v>0</v>
      </c>
      <c r="G49" s="201"/>
      <c r="H49" s="28">
        <f t="shared" si="3"/>
        <v>0</v>
      </c>
      <c r="I49" s="29">
        <f t="shared" si="4"/>
        <v>0</v>
      </c>
      <c r="J49" s="201"/>
      <c r="K49" s="204" t="s">
        <v>133</v>
      </c>
      <c r="L49" s="11">
        <f>F49</f>
        <v>0</v>
      </c>
      <c r="M49" s="201"/>
      <c r="O49" s="33" t="s">
        <v>51</v>
      </c>
      <c r="P49" s="34" t="s">
        <v>177</v>
      </c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45"/>
    </row>
    <row r="50" spans="1:31" ht="15">
      <c r="A50" s="195" t="s">
        <v>52</v>
      </c>
      <c r="B50" s="56" t="s">
        <v>15</v>
      </c>
      <c r="C50" s="88">
        <v>10000</v>
      </c>
      <c r="D50" s="89">
        <v>1</v>
      </c>
      <c r="E50" s="80">
        <f t="shared" si="5"/>
        <v>10000</v>
      </c>
      <c r="F50" s="11">
        <f t="shared" si="2"/>
        <v>0.0228310502283105</v>
      </c>
      <c r="G50" s="201"/>
      <c r="H50" s="28">
        <f t="shared" si="3"/>
        <v>4.566210045662101</v>
      </c>
      <c r="I50" s="29">
        <f t="shared" si="4"/>
        <v>4.566210045662101</v>
      </c>
      <c r="J50" s="201"/>
      <c r="K50" s="209"/>
      <c r="L50" s="11">
        <f>(4*F50+F50*C$12)/5</f>
        <v>0.025719876991892644</v>
      </c>
      <c r="M50" s="201"/>
      <c r="O50" s="33" t="s">
        <v>52</v>
      </c>
      <c r="P50" s="34" t="s">
        <v>96</v>
      </c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45"/>
    </row>
    <row r="51" spans="1:31" ht="15">
      <c r="A51" s="195" t="s">
        <v>53</v>
      </c>
      <c r="B51" s="56" t="s">
        <v>16</v>
      </c>
      <c r="C51" s="88">
        <v>270</v>
      </c>
      <c r="D51" s="89">
        <v>1</v>
      </c>
      <c r="E51" s="80">
        <f t="shared" si="5"/>
        <v>270</v>
      </c>
      <c r="F51" s="11">
        <f t="shared" si="2"/>
        <v>0.0006164383561643835</v>
      </c>
      <c r="G51" s="201"/>
      <c r="H51" s="28">
        <f t="shared" si="3"/>
        <v>0.1232876712328767</v>
      </c>
      <c r="I51" s="29">
        <f t="shared" si="4"/>
        <v>0.1232876712328767</v>
      </c>
      <c r="J51" s="201"/>
      <c r="K51" s="204" t="s">
        <v>133</v>
      </c>
      <c r="L51" s="11">
        <f>F51</f>
        <v>0.0006164383561643835</v>
      </c>
      <c r="M51" s="201"/>
      <c r="O51" s="33" t="s">
        <v>53</v>
      </c>
      <c r="P51" s="34" t="s">
        <v>96</v>
      </c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45"/>
    </row>
    <row r="52" spans="1:31" ht="15">
      <c r="A52" s="195" t="s">
        <v>54</v>
      </c>
      <c r="B52" s="56" t="s">
        <v>17</v>
      </c>
      <c r="C52" s="88">
        <v>0</v>
      </c>
      <c r="D52" s="89">
        <v>0</v>
      </c>
      <c r="E52" s="80">
        <f t="shared" si="5"/>
        <v>0</v>
      </c>
      <c r="F52" s="11">
        <f t="shared" si="2"/>
        <v>0</v>
      </c>
      <c r="G52" s="201"/>
      <c r="H52" s="28">
        <f t="shared" si="3"/>
        <v>0</v>
      </c>
      <c r="I52" s="29">
        <f t="shared" si="4"/>
        <v>0</v>
      </c>
      <c r="J52" s="201"/>
      <c r="K52" s="204" t="s">
        <v>133</v>
      </c>
      <c r="L52" s="11">
        <f>F52</f>
        <v>0</v>
      </c>
      <c r="M52" s="201"/>
      <c r="O52" s="33" t="s">
        <v>54</v>
      </c>
      <c r="P52" s="34" t="s">
        <v>97</v>
      </c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45"/>
    </row>
    <row r="53" spans="1:31" ht="15">
      <c r="A53" s="195" t="s">
        <v>55</v>
      </c>
      <c r="B53" s="56" t="s">
        <v>18</v>
      </c>
      <c r="C53" s="88">
        <v>1000</v>
      </c>
      <c r="D53" s="89">
        <v>1</v>
      </c>
      <c r="E53" s="80">
        <f t="shared" si="5"/>
        <v>1000</v>
      </c>
      <c r="F53" s="11">
        <f t="shared" si="2"/>
        <v>0.00228310502283105</v>
      </c>
      <c r="G53" s="201"/>
      <c r="H53" s="28">
        <f t="shared" si="3"/>
        <v>0.45662100456621</v>
      </c>
      <c r="I53" s="29">
        <f t="shared" si="4"/>
        <v>0.45662100456621</v>
      </c>
      <c r="J53" s="201"/>
      <c r="K53" s="204"/>
      <c r="L53" s="11">
        <f>(-0.315+1.315*C12)*F53</f>
        <v>0.0041825086198863095</v>
      </c>
      <c r="M53" s="201"/>
      <c r="O53" s="33" t="s">
        <v>55</v>
      </c>
      <c r="P53" s="34" t="s">
        <v>111</v>
      </c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45"/>
    </row>
    <row r="54" spans="1:31" ht="15">
      <c r="A54" s="195" t="s">
        <v>56</v>
      </c>
      <c r="B54" s="56" t="s">
        <v>19</v>
      </c>
      <c r="C54" s="88">
        <v>15000</v>
      </c>
      <c r="D54" s="89">
        <v>1</v>
      </c>
      <c r="E54" s="80">
        <f t="shared" si="5"/>
        <v>15000</v>
      </c>
      <c r="F54" s="11">
        <f t="shared" si="2"/>
        <v>0.03424657534246575</v>
      </c>
      <c r="G54" s="201"/>
      <c r="H54" s="28">
        <f t="shared" si="3"/>
        <v>6.8493150684931505</v>
      </c>
      <c r="I54" s="29">
        <f t="shared" si="4"/>
        <v>6.8493150684931505</v>
      </c>
      <c r="J54" s="201"/>
      <c r="K54" s="204" t="s">
        <v>133</v>
      </c>
      <c r="L54" s="11">
        <f>F54</f>
        <v>0.03424657534246575</v>
      </c>
      <c r="M54" s="201"/>
      <c r="O54" s="33" t="s">
        <v>56</v>
      </c>
      <c r="P54" s="34" t="s">
        <v>118</v>
      </c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45"/>
    </row>
    <row r="55" spans="1:31" ht="15">
      <c r="A55" s="195" t="s">
        <v>57</v>
      </c>
      <c r="B55" s="56" t="s">
        <v>115</v>
      </c>
      <c r="C55" s="88">
        <v>1000</v>
      </c>
      <c r="D55" s="89">
        <v>1</v>
      </c>
      <c r="E55" s="80">
        <f t="shared" si="5"/>
        <v>1000</v>
      </c>
      <c r="F55" s="11">
        <f t="shared" si="2"/>
        <v>0.00228310502283105</v>
      </c>
      <c r="G55" s="201"/>
      <c r="H55" s="28">
        <f t="shared" si="3"/>
        <v>0.45662100456621</v>
      </c>
      <c r="I55" s="29">
        <f t="shared" si="4"/>
        <v>0.45662100456621</v>
      </c>
      <c r="J55" s="201"/>
      <c r="K55" s="204"/>
      <c r="L55" s="11">
        <f>(1.34-0.34*$C$12)*F55</f>
        <v>0.0017920044730220857</v>
      </c>
      <c r="M55" s="201"/>
      <c r="O55" s="33" t="s">
        <v>57</v>
      </c>
      <c r="P55" s="34" t="s">
        <v>98</v>
      </c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45"/>
    </row>
    <row r="56" spans="1:31" ht="15">
      <c r="A56" s="195" t="s">
        <v>58</v>
      </c>
      <c r="B56" s="56" t="s">
        <v>20</v>
      </c>
      <c r="C56" s="88">
        <v>5000</v>
      </c>
      <c r="D56" s="89">
        <v>1</v>
      </c>
      <c r="E56" s="80">
        <f t="shared" si="5"/>
        <v>5000</v>
      </c>
      <c r="F56" s="11">
        <f t="shared" si="2"/>
        <v>0.01141552511415525</v>
      </c>
      <c r="G56" s="201"/>
      <c r="H56" s="28">
        <f t="shared" si="3"/>
        <v>2.2831050228310503</v>
      </c>
      <c r="I56" s="29">
        <f t="shared" si="4"/>
        <v>2.2831050228310503</v>
      </c>
      <c r="J56" s="201"/>
      <c r="K56" s="204"/>
      <c r="L56" s="11">
        <f>(4*F56+F56*C$12)/5</f>
        <v>0.012859938495946322</v>
      </c>
      <c r="M56" s="201"/>
      <c r="O56" s="33" t="s">
        <v>58</v>
      </c>
      <c r="P56" s="34" t="s">
        <v>119</v>
      </c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45"/>
    </row>
    <row r="57" spans="1:31" ht="15">
      <c r="A57" s="195" t="s">
        <v>59</v>
      </c>
      <c r="B57" s="83" t="s">
        <v>6</v>
      </c>
      <c r="C57" s="76"/>
      <c r="D57" s="87"/>
      <c r="E57" s="80">
        <f t="shared" si="5"/>
        <v>0</v>
      </c>
      <c r="F57" s="11">
        <f t="shared" si="2"/>
        <v>0</v>
      </c>
      <c r="G57" s="201"/>
      <c r="H57" s="28">
        <f t="shared" si="3"/>
        <v>0</v>
      </c>
      <c r="I57" s="29">
        <f t="shared" si="4"/>
        <v>0</v>
      </c>
      <c r="J57" s="201"/>
      <c r="K57" s="204" t="s">
        <v>133</v>
      </c>
      <c r="L57" s="11">
        <f>F57</f>
        <v>0</v>
      </c>
      <c r="M57" s="201"/>
      <c r="O57" s="33" t="s">
        <v>59</v>
      </c>
      <c r="P57" s="34" t="s">
        <v>88</v>
      </c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45"/>
    </row>
    <row r="58" spans="1:31" ht="15">
      <c r="A58" s="195" t="s">
        <v>60</v>
      </c>
      <c r="B58" s="84" t="s">
        <v>7</v>
      </c>
      <c r="C58" s="76"/>
      <c r="D58" s="87"/>
      <c r="E58" s="80">
        <f t="shared" si="5"/>
        <v>0</v>
      </c>
      <c r="F58" s="11">
        <f t="shared" si="2"/>
        <v>0</v>
      </c>
      <c r="G58" s="201"/>
      <c r="H58" s="28">
        <f t="shared" si="3"/>
        <v>0</v>
      </c>
      <c r="I58" s="29">
        <f t="shared" si="4"/>
        <v>0</v>
      </c>
      <c r="J58" s="201"/>
      <c r="K58" s="204" t="s">
        <v>133</v>
      </c>
      <c r="L58" s="11">
        <f>F58</f>
        <v>0</v>
      </c>
      <c r="M58" s="201"/>
      <c r="O58" s="33" t="s">
        <v>60</v>
      </c>
      <c r="P58" s="34" t="s">
        <v>88</v>
      </c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45"/>
    </row>
    <row r="59" spans="1:31" ht="15.75" thickBot="1">
      <c r="A59" s="195" t="s">
        <v>61</v>
      </c>
      <c r="B59" s="69" t="s">
        <v>8</v>
      </c>
      <c r="C59" s="90"/>
      <c r="D59" s="91"/>
      <c r="E59" s="81">
        <f t="shared" si="5"/>
        <v>0</v>
      </c>
      <c r="F59" s="12">
        <f t="shared" si="2"/>
        <v>0</v>
      </c>
      <c r="G59" s="201"/>
      <c r="H59" s="93">
        <f t="shared" si="3"/>
        <v>0</v>
      </c>
      <c r="I59" s="30">
        <f t="shared" si="4"/>
        <v>0</v>
      </c>
      <c r="J59" s="201"/>
      <c r="K59" s="204" t="s">
        <v>133</v>
      </c>
      <c r="L59" s="92">
        <f>F59</f>
        <v>0</v>
      </c>
      <c r="M59" s="201"/>
      <c r="O59" s="35" t="s">
        <v>61</v>
      </c>
      <c r="P59" s="46" t="s">
        <v>88</v>
      </c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7"/>
    </row>
    <row r="60" spans="1:13" ht="15.75" thickBot="1">
      <c r="A60" s="193"/>
      <c r="B60" s="18"/>
      <c r="C60" s="82"/>
      <c r="D60" s="20" t="s">
        <v>33</v>
      </c>
      <c r="E60" s="125">
        <f>SUM(E40:E59)</f>
        <v>120253.5</v>
      </c>
      <c r="F60" s="131">
        <f>SUM(F40:F59)</f>
        <v>0.27455136986301365</v>
      </c>
      <c r="G60" s="201"/>
      <c r="H60" s="40"/>
      <c r="I60" s="126">
        <f>SUM(I40:I59)</f>
        <v>54.91027397260274</v>
      </c>
      <c r="J60" s="201"/>
      <c r="K60" s="205">
        <f>(L60/F60)-1</f>
        <v>0.0868671827306764</v>
      </c>
      <c r="L60" s="130">
        <f>SUM(L40:L59)</f>
        <v>0.29840087387786157</v>
      </c>
      <c r="M60" s="201"/>
    </row>
    <row r="61" spans="1:13" ht="15.75" thickBot="1">
      <c r="A61" s="193"/>
      <c r="B61" s="1"/>
      <c r="C61" s="2"/>
      <c r="D61" s="17" t="s">
        <v>34</v>
      </c>
      <c r="E61" s="127">
        <f>IF(C21=0,E34,E60+E34)</f>
        <v>149253.5</v>
      </c>
      <c r="F61" s="132">
        <f>IF(C21=0,E61/365,E61/C21)</f>
        <v>0.34076141552511413</v>
      </c>
      <c r="G61" s="201"/>
      <c r="H61" s="22"/>
      <c r="I61" s="127">
        <f>I34+I60</f>
        <v>68.15228310502283</v>
      </c>
      <c r="J61" s="201"/>
      <c r="K61" s="205">
        <f>(L61/F61)-1</f>
        <v>0.0699888629647103</v>
      </c>
      <c r="L61" s="133">
        <f>L60+F34</f>
        <v>0.36461091953996205</v>
      </c>
      <c r="M61" s="201"/>
    </row>
    <row r="62" spans="1:13" ht="15">
      <c r="A62" s="193"/>
      <c r="B62" s="201"/>
      <c r="C62" s="201"/>
      <c r="D62" s="201"/>
      <c r="E62" s="201"/>
      <c r="F62" s="201"/>
      <c r="G62" s="201"/>
      <c r="H62" s="201"/>
      <c r="I62" s="201"/>
      <c r="J62" s="201"/>
      <c r="K62" s="202"/>
      <c r="L62" s="193"/>
      <c r="M62" s="201"/>
    </row>
    <row r="63" spans="1:13" ht="15.75" thickBot="1">
      <c r="A63" s="193"/>
      <c r="B63" s="201"/>
      <c r="C63" s="201"/>
      <c r="D63" s="201"/>
      <c r="E63" s="201"/>
      <c r="F63" s="201"/>
      <c r="G63" s="201"/>
      <c r="H63" s="201"/>
      <c r="I63" s="201"/>
      <c r="J63" s="201"/>
      <c r="K63" s="202"/>
      <c r="L63" s="193"/>
      <c r="M63" s="201"/>
    </row>
    <row r="64" spans="1:13" ht="15">
      <c r="A64" s="193"/>
      <c r="B64" s="54" t="s">
        <v>157</v>
      </c>
      <c r="C64" s="4"/>
      <c r="D64" s="4"/>
      <c r="E64" s="4"/>
      <c r="F64" s="5" t="s">
        <v>162</v>
      </c>
      <c r="G64" s="201"/>
      <c r="H64" s="201"/>
      <c r="I64" s="26"/>
      <c r="J64" s="201"/>
      <c r="K64" s="204"/>
      <c r="L64" s="26"/>
      <c r="M64" s="201"/>
    </row>
    <row r="65" spans="1:13" ht="15.75" thickBot="1">
      <c r="A65" s="193"/>
      <c r="B65" s="24" t="s">
        <v>78</v>
      </c>
      <c r="C65" s="15"/>
      <c r="D65" s="15"/>
      <c r="E65" s="13" t="s">
        <v>25</v>
      </c>
      <c r="F65" s="7" t="s">
        <v>29</v>
      </c>
      <c r="G65" s="201"/>
      <c r="H65" s="201"/>
      <c r="I65" s="27" t="s">
        <v>72</v>
      </c>
      <c r="J65" s="201"/>
      <c r="K65" s="204"/>
      <c r="L65" s="27" t="s">
        <v>72</v>
      </c>
      <c r="M65" s="201"/>
    </row>
    <row r="66" spans="1:31" ht="15.75" thickBot="1">
      <c r="A66" s="194" t="s">
        <v>26</v>
      </c>
      <c r="B66" s="55" t="s">
        <v>166</v>
      </c>
      <c r="C66" s="15"/>
      <c r="D66" s="15"/>
      <c r="E66" s="8" t="s">
        <v>35</v>
      </c>
      <c r="F66" s="9" t="s">
        <v>35</v>
      </c>
      <c r="G66" s="201"/>
      <c r="H66" s="201"/>
      <c r="I66" s="27" t="s">
        <v>71</v>
      </c>
      <c r="J66" s="201"/>
      <c r="K66" s="204"/>
      <c r="L66" s="27" t="s">
        <v>71</v>
      </c>
      <c r="M66" s="201"/>
      <c r="O66" s="48" t="s">
        <v>99</v>
      </c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50"/>
    </row>
    <row r="67" spans="1:32" ht="15">
      <c r="A67" s="195" t="s">
        <v>62</v>
      </c>
      <c r="B67" s="56" t="s">
        <v>123</v>
      </c>
      <c r="C67" s="85"/>
      <c r="D67" s="86"/>
      <c r="E67" s="94"/>
      <c r="F67" s="41">
        <f aca="true" t="shared" si="6" ref="F67:F76">IF($C$21=0,0,E67/C$21)</f>
        <v>0</v>
      </c>
      <c r="G67" s="201"/>
      <c r="H67" s="201"/>
      <c r="I67" s="11">
        <f aca="true" t="shared" si="7" ref="I67:I76">IF($C$18=0,0,E67/$C$18)</f>
        <v>0</v>
      </c>
      <c r="J67" s="201"/>
      <c r="K67" s="204" t="s">
        <v>133</v>
      </c>
      <c r="L67" s="11">
        <f>F67</f>
        <v>0</v>
      </c>
      <c r="M67" s="201"/>
      <c r="O67" s="31" t="s">
        <v>62</v>
      </c>
      <c r="P67" s="32" t="s">
        <v>181</v>
      </c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44"/>
      <c r="AF67" s="15"/>
    </row>
    <row r="68" spans="1:32" ht="15">
      <c r="A68" s="195" t="s">
        <v>63</v>
      </c>
      <c r="B68" s="56" t="s">
        <v>120</v>
      </c>
      <c r="C68" s="76"/>
      <c r="D68" s="87"/>
      <c r="E68" s="95"/>
      <c r="F68" s="11">
        <f t="shared" si="6"/>
        <v>0</v>
      </c>
      <c r="G68" s="201"/>
      <c r="H68" s="201"/>
      <c r="I68" s="11">
        <f t="shared" si="7"/>
        <v>0</v>
      </c>
      <c r="J68" s="201"/>
      <c r="K68" s="204" t="s">
        <v>133</v>
      </c>
      <c r="L68" s="11">
        <f>F68</f>
        <v>0</v>
      </c>
      <c r="M68" s="201"/>
      <c r="O68" s="33" t="s">
        <v>63</v>
      </c>
      <c r="P68" s="34" t="s">
        <v>178</v>
      </c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45"/>
      <c r="AF68" s="15"/>
    </row>
    <row r="69" spans="1:32" ht="15">
      <c r="A69" s="195" t="s">
        <v>64</v>
      </c>
      <c r="B69" s="56" t="s">
        <v>121</v>
      </c>
      <c r="C69" s="76"/>
      <c r="D69" s="87"/>
      <c r="E69" s="95"/>
      <c r="F69" s="11">
        <f t="shared" si="6"/>
        <v>0</v>
      </c>
      <c r="G69" s="201"/>
      <c r="H69" s="201"/>
      <c r="I69" s="11">
        <f t="shared" si="7"/>
        <v>0</v>
      </c>
      <c r="J69" s="201"/>
      <c r="K69" s="204"/>
      <c r="L69" s="11">
        <f>(9*F69+F69*C$12)/10</f>
        <v>0</v>
      </c>
      <c r="M69" s="201"/>
      <c r="O69" s="33" t="s">
        <v>64</v>
      </c>
      <c r="P69" s="34" t="s">
        <v>179</v>
      </c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45"/>
      <c r="AF69" s="15"/>
    </row>
    <row r="70" spans="1:32" ht="15">
      <c r="A70" s="195" t="s">
        <v>65</v>
      </c>
      <c r="B70" s="56" t="s">
        <v>105</v>
      </c>
      <c r="C70" s="76"/>
      <c r="D70" s="87"/>
      <c r="E70" s="95"/>
      <c r="F70" s="11">
        <f t="shared" si="6"/>
        <v>0</v>
      </c>
      <c r="G70" s="201"/>
      <c r="H70" s="201"/>
      <c r="I70" s="11">
        <f t="shared" si="7"/>
        <v>0</v>
      </c>
      <c r="J70" s="201"/>
      <c r="K70" s="204" t="s">
        <v>133</v>
      </c>
      <c r="L70" s="11">
        <f aca="true" t="shared" si="8" ref="L70:L76">F70</f>
        <v>0</v>
      </c>
      <c r="M70" s="201"/>
      <c r="O70" s="33" t="s">
        <v>65</v>
      </c>
      <c r="P70" s="34" t="s">
        <v>180</v>
      </c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45"/>
      <c r="AF70" s="15"/>
    </row>
    <row r="71" spans="1:32" ht="15">
      <c r="A71" s="195" t="s">
        <v>66</v>
      </c>
      <c r="B71" s="56" t="s">
        <v>21</v>
      </c>
      <c r="C71" s="76"/>
      <c r="D71" s="87"/>
      <c r="E71" s="95"/>
      <c r="F71" s="11">
        <f t="shared" si="6"/>
        <v>0</v>
      </c>
      <c r="G71" s="201"/>
      <c r="H71" s="201"/>
      <c r="I71" s="11">
        <f t="shared" si="7"/>
        <v>0</v>
      </c>
      <c r="J71" s="201"/>
      <c r="K71" s="204"/>
      <c r="L71" s="11">
        <f>(4*F71+F71*C$12)/5</f>
        <v>0</v>
      </c>
      <c r="M71" s="201"/>
      <c r="O71" s="33" t="s">
        <v>66</v>
      </c>
      <c r="P71" s="34" t="s">
        <v>101</v>
      </c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45"/>
      <c r="AF71" s="15"/>
    </row>
    <row r="72" spans="1:32" ht="15">
      <c r="A72" s="195" t="s">
        <v>67</v>
      </c>
      <c r="B72" s="56" t="s">
        <v>79</v>
      </c>
      <c r="C72" s="76"/>
      <c r="D72" s="87"/>
      <c r="E72" s="95"/>
      <c r="F72" s="11">
        <f t="shared" si="6"/>
        <v>0</v>
      </c>
      <c r="G72" s="201"/>
      <c r="H72" s="201"/>
      <c r="I72" s="11">
        <f t="shared" si="7"/>
        <v>0</v>
      </c>
      <c r="J72" s="201"/>
      <c r="K72" s="204"/>
      <c r="L72" s="11">
        <f>(4*F72+F72*C$12)/5</f>
        <v>0</v>
      </c>
      <c r="M72" s="201"/>
      <c r="O72" s="33" t="s">
        <v>67</v>
      </c>
      <c r="P72" s="34" t="s">
        <v>102</v>
      </c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45"/>
      <c r="AF72" s="15"/>
    </row>
    <row r="73" spans="1:32" ht="15">
      <c r="A73" s="195" t="s">
        <v>68</v>
      </c>
      <c r="B73" s="56" t="s">
        <v>22</v>
      </c>
      <c r="C73" s="76"/>
      <c r="D73" s="87"/>
      <c r="E73" s="95"/>
      <c r="F73" s="11">
        <f t="shared" si="6"/>
        <v>0</v>
      </c>
      <c r="G73" s="201"/>
      <c r="H73" s="201"/>
      <c r="I73" s="11">
        <f t="shared" si="7"/>
        <v>0</v>
      </c>
      <c r="J73" s="201"/>
      <c r="K73" s="204" t="s">
        <v>133</v>
      </c>
      <c r="L73" s="11">
        <f t="shared" si="8"/>
        <v>0</v>
      </c>
      <c r="M73" s="201"/>
      <c r="O73" s="33" t="s">
        <v>68</v>
      </c>
      <c r="P73" s="34" t="s">
        <v>103</v>
      </c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45"/>
      <c r="AF73" s="15"/>
    </row>
    <row r="74" spans="1:32" ht="15">
      <c r="A74" s="195" t="s">
        <v>69</v>
      </c>
      <c r="B74" s="83" t="s">
        <v>6</v>
      </c>
      <c r="C74" s="76"/>
      <c r="D74" s="87"/>
      <c r="E74" s="95"/>
      <c r="F74" s="11">
        <f t="shared" si="6"/>
        <v>0</v>
      </c>
      <c r="G74" s="201"/>
      <c r="H74" s="201"/>
      <c r="I74" s="11">
        <f t="shared" si="7"/>
        <v>0</v>
      </c>
      <c r="J74" s="201"/>
      <c r="K74" s="204" t="s">
        <v>133</v>
      </c>
      <c r="L74" s="11">
        <f t="shared" si="8"/>
        <v>0</v>
      </c>
      <c r="M74" s="201"/>
      <c r="O74" s="33" t="s">
        <v>69</v>
      </c>
      <c r="P74" s="34" t="s">
        <v>88</v>
      </c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45"/>
      <c r="AF74" s="15"/>
    </row>
    <row r="75" spans="1:32" ht="15">
      <c r="A75" s="195" t="s">
        <v>70</v>
      </c>
      <c r="B75" s="84" t="s">
        <v>7</v>
      </c>
      <c r="C75" s="76"/>
      <c r="D75" s="87"/>
      <c r="E75" s="95"/>
      <c r="F75" s="11">
        <f t="shared" si="6"/>
        <v>0</v>
      </c>
      <c r="G75" s="201"/>
      <c r="H75" s="201"/>
      <c r="I75" s="11">
        <f t="shared" si="7"/>
        <v>0</v>
      </c>
      <c r="J75" s="201"/>
      <c r="K75" s="204" t="s">
        <v>133</v>
      </c>
      <c r="L75" s="11">
        <f t="shared" si="8"/>
        <v>0</v>
      </c>
      <c r="M75" s="201"/>
      <c r="O75" s="33" t="s">
        <v>69</v>
      </c>
      <c r="P75" s="34" t="s">
        <v>88</v>
      </c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45"/>
      <c r="AF75" s="15"/>
    </row>
    <row r="76" spans="1:32" ht="15.75" thickBot="1">
      <c r="A76" s="195" t="s">
        <v>104</v>
      </c>
      <c r="B76" s="69" t="s">
        <v>8</v>
      </c>
      <c r="C76" s="90"/>
      <c r="D76" s="91"/>
      <c r="E76" s="96"/>
      <c r="F76" s="11">
        <f t="shared" si="6"/>
        <v>0</v>
      </c>
      <c r="G76" s="201"/>
      <c r="H76" s="201"/>
      <c r="I76" s="92">
        <f t="shared" si="7"/>
        <v>0</v>
      </c>
      <c r="J76" s="201"/>
      <c r="K76" s="204" t="s">
        <v>133</v>
      </c>
      <c r="L76" s="92">
        <f t="shared" si="8"/>
        <v>0</v>
      </c>
      <c r="M76" s="201"/>
      <c r="O76" s="35" t="s">
        <v>104</v>
      </c>
      <c r="P76" s="46" t="s">
        <v>88</v>
      </c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7"/>
      <c r="AF76" s="15"/>
    </row>
    <row r="77" spans="1:31" ht="15.75" thickBot="1">
      <c r="A77" s="193"/>
      <c r="B77" s="18"/>
      <c r="C77" s="19"/>
      <c r="D77" s="25" t="s">
        <v>73</v>
      </c>
      <c r="E77" s="125">
        <f>SUM(E68:E76)</f>
        <v>0</v>
      </c>
      <c r="F77" s="130">
        <f>SUM(F67:F76)</f>
        <v>0</v>
      </c>
      <c r="G77" s="201"/>
      <c r="H77" s="201"/>
      <c r="I77" s="125">
        <f>SUM(I67:I76)</f>
        <v>0</v>
      </c>
      <c r="J77" s="201"/>
      <c r="K77" s="205" t="e">
        <f>(L77/F77)-1</f>
        <v>#DIV/0!</v>
      </c>
      <c r="L77" s="130">
        <f>SUM(L67:L76)</f>
        <v>0</v>
      </c>
      <c r="M77" s="201"/>
      <c r="O77" s="77" t="s">
        <v>112</v>
      </c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</row>
    <row r="78" spans="1:13" ht="15.75" thickBot="1">
      <c r="A78" s="193"/>
      <c r="B78" s="193"/>
      <c r="C78" s="193"/>
      <c r="D78" s="207"/>
      <c r="E78" s="207"/>
      <c r="F78" s="208"/>
      <c r="G78" s="193"/>
      <c r="H78" s="193"/>
      <c r="I78" s="193"/>
      <c r="J78" s="193"/>
      <c r="K78" s="202"/>
      <c r="L78" s="193"/>
      <c r="M78" s="201"/>
    </row>
    <row r="79" spans="1:13" ht="15">
      <c r="A79" s="203"/>
      <c r="B79" s="36"/>
      <c r="C79" s="37"/>
      <c r="D79" s="124" t="s">
        <v>150</v>
      </c>
      <c r="E79" s="37"/>
      <c r="F79" s="71"/>
      <c r="G79" s="71"/>
      <c r="H79" s="71"/>
      <c r="I79" s="72"/>
      <c r="J79" s="201"/>
      <c r="K79" s="204"/>
      <c r="L79" s="111" t="s">
        <v>74</v>
      </c>
      <c r="M79" s="201"/>
    </row>
    <row r="80" spans="1:13" ht="15.75" thickBot="1">
      <c r="A80" s="203"/>
      <c r="B80" s="38"/>
      <c r="C80" s="39"/>
      <c r="D80" s="39"/>
      <c r="E80" s="74" t="s">
        <v>140</v>
      </c>
      <c r="F80" s="128">
        <f>F61+F77</f>
        <v>0.34076141552511413</v>
      </c>
      <c r="G80" s="144" t="s">
        <v>151</v>
      </c>
      <c r="H80" s="39"/>
      <c r="I80" s="122"/>
      <c r="J80" s="201"/>
      <c r="K80" s="205">
        <f>(L80/F80)-1</f>
        <v>0.0699888629647103</v>
      </c>
      <c r="L80" s="129">
        <f>L61+L77</f>
        <v>0.36461091953996205</v>
      </c>
      <c r="M80" s="201"/>
    </row>
    <row r="81" spans="1:13" ht="15.75" thickBot="1">
      <c r="A81" s="199"/>
      <c r="B81" s="57"/>
      <c r="C81" s="58"/>
      <c r="D81" s="58"/>
      <c r="E81" s="73" t="s">
        <v>141</v>
      </c>
      <c r="F81" s="137">
        <f>F61</f>
        <v>0.34076141552511413</v>
      </c>
      <c r="G81" s="58"/>
      <c r="H81" s="58"/>
      <c r="I81" s="59"/>
      <c r="J81" s="201"/>
      <c r="K81" s="205">
        <f>(L81/F81)-1</f>
        <v>0.0699888629647103</v>
      </c>
      <c r="L81" s="138">
        <f>L61</f>
        <v>0.36461091953996205</v>
      </c>
      <c r="M81" s="201"/>
    </row>
    <row r="82" spans="1:13" ht="15.75" thickBot="1">
      <c r="A82" s="193"/>
      <c r="B82" s="3"/>
      <c r="C82" s="160" t="s">
        <v>142</v>
      </c>
      <c r="D82" s="4"/>
      <c r="E82" s="4"/>
      <c r="F82" s="4"/>
      <c r="G82" s="4"/>
      <c r="H82" s="4"/>
      <c r="I82" s="14"/>
      <c r="J82" s="201"/>
      <c r="K82" s="206"/>
      <c r="L82" s="163"/>
      <c r="M82" s="201"/>
    </row>
    <row r="83" spans="1:13" ht="15.75" thickBot="1">
      <c r="A83" s="193"/>
      <c r="B83" s="117"/>
      <c r="C83" s="146"/>
      <c r="D83" s="146"/>
      <c r="E83" s="146"/>
      <c r="F83" s="161" t="s">
        <v>149</v>
      </c>
      <c r="G83" s="146"/>
      <c r="H83" s="162" t="s">
        <v>148</v>
      </c>
      <c r="I83" s="152">
        <f>I77+I61</f>
        <v>68.15228310502283</v>
      </c>
      <c r="J83" s="201"/>
      <c r="K83" s="206" t="s">
        <v>147</v>
      </c>
      <c r="L83" s="125">
        <f>I83+I83*K80</f>
        <v>72.92218390799242</v>
      </c>
      <c r="M83" s="201"/>
    </row>
    <row r="84" spans="1:13" ht="15">
      <c r="A84" s="193"/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</row>
    <row r="85" spans="1:16" ht="15">
      <c r="A85" s="193"/>
      <c r="B85" s="201" t="s">
        <v>145</v>
      </c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134" t="s">
        <v>134</v>
      </c>
      <c r="O85" s="135">
        <f>P85/P88</f>
        <v>0.19430030116546684</v>
      </c>
      <c r="P85" s="136">
        <f>F34</f>
        <v>0.06621004566210045</v>
      </c>
    </row>
    <row r="86" spans="1:16" ht="15">
      <c r="A86" s="193"/>
      <c r="B86" s="201" t="s">
        <v>146</v>
      </c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134" t="s">
        <v>159</v>
      </c>
      <c r="O86" s="135">
        <f>P86/P88</f>
        <v>0.8056996988345333</v>
      </c>
      <c r="P86" s="136">
        <f>F60</f>
        <v>0.27455136986301365</v>
      </c>
    </row>
    <row r="87" spans="1:16" ht="15">
      <c r="A87" s="193"/>
      <c r="B87" s="201" t="s">
        <v>144</v>
      </c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134" t="s">
        <v>135</v>
      </c>
      <c r="O87" s="135">
        <f>P87/P88</f>
        <v>0</v>
      </c>
      <c r="P87" s="136">
        <f>F77</f>
        <v>0</v>
      </c>
    </row>
    <row r="88" spans="1:16" ht="15">
      <c r="A88" s="193"/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134"/>
      <c r="O88" s="143"/>
      <c r="P88" s="136">
        <f>SUM(P85:P87)</f>
        <v>0.3407614155251141</v>
      </c>
    </row>
    <row r="89" spans="1:15" ht="15">
      <c r="A89" s="193"/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O89" s="143" t="s">
        <v>182</v>
      </c>
    </row>
    <row r="90" spans="1:13" ht="15">
      <c r="A90" s="193"/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</row>
    <row r="91" spans="1:13" ht="15">
      <c r="A91" s="193"/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</row>
    <row r="92" spans="1:13" ht="15">
      <c r="A92" s="193"/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</row>
    <row r="93" spans="1:13" ht="15">
      <c r="A93" s="193"/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</row>
    <row r="94" spans="1:13" ht="15">
      <c r="A94" s="193"/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</row>
  </sheetData>
  <sheetProtection password="86A6" sheet="1" objects="1" scenarios="1"/>
  <mergeCells count="5">
    <mergeCell ref="K24:L24"/>
    <mergeCell ref="K25:L25"/>
    <mergeCell ref="K26:L26"/>
    <mergeCell ref="K36:L36"/>
    <mergeCell ref="K35:L35"/>
  </mergeCells>
  <printOptions/>
  <pageMargins left="0.7" right="0.7" top="0.75" bottom="0.75" header="0.3" footer="0.3"/>
  <pageSetup blackAndWhite="1" fitToHeight="1" fitToWidth="1" horizontalDpi="300" verticalDpi="300" orientation="portrait" scale="60"/>
  <headerFooter>
    <oddHeader>&amp;R&amp;D</oddHeader>
    <oddFooter>&amp;LIowa Beef Center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Garland RJ Dahlke</dc:creator>
  <cp:keywords/>
  <dc:description/>
  <cp:lastModifiedBy>Microsoft Office User</cp:lastModifiedBy>
  <cp:lastPrinted>2010-04-19T16:29:53Z</cp:lastPrinted>
  <dcterms:created xsi:type="dcterms:W3CDTF">2009-12-14T20:51:53Z</dcterms:created>
  <dcterms:modified xsi:type="dcterms:W3CDTF">2022-03-10T01:39:25Z</dcterms:modified>
  <cp:category/>
  <cp:version/>
  <cp:contentType/>
  <cp:contentStatus/>
</cp:coreProperties>
</file>